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73E" lockStructure="1"/>
  <bookViews>
    <workbookView xWindow="240" yWindow="135" windowWidth="20115" windowHeight="7245"/>
  </bookViews>
  <sheets>
    <sheet name="Инструкция" sheetId="6" r:id="rId1"/>
    <sheet name="Введение" sheetId="5" r:id="rId2"/>
    <sheet name="Ввод данных" sheetId="4" r:id="rId3"/>
    <sheet name="Детали" sheetId="2" r:id="rId4"/>
    <sheet name="СВОДКА" sheetId="1" r:id="rId5"/>
  </sheets>
  <calcPr calcId="145621"/>
</workbook>
</file>

<file path=xl/calcChain.xml><?xml version="1.0" encoding="utf-8"?>
<calcChain xmlns="http://schemas.openxmlformats.org/spreadsheetml/2006/main">
  <c r="F91" i="2" l="1"/>
  <c r="F90" i="2"/>
  <c r="F84" i="2"/>
  <c r="B2" i="1" l="1"/>
  <c r="H110" i="2" l="1"/>
  <c r="H111" i="2"/>
  <c r="H109" i="2"/>
  <c r="H107" i="2"/>
  <c r="H108" i="2"/>
  <c r="H106" i="2"/>
  <c r="F110" i="2"/>
  <c r="F111" i="2"/>
  <c r="H99" i="2"/>
  <c r="H100" i="2"/>
  <c r="H101" i="2"/>
  <c r="H98" i="2"/>
  <c r="H97" i="2"/>
  <c r="F99" i="2"/>
  <c r="F100" i="2"/>
  <c r="F101" i="2"/>
  <c r="F98" i="2"/>
  <c r="F262" i="2"/>
  <c r="B11" i="2" l="1"/>
  <c r="I64" i="4" l="1"/>
  <c r="F126" i="2"/>
  <c r="F127" i="2"/>
  <c r="I300" i="4"/>
  <c r="I299" i="4"/>
  <c r="I298" i="4"/>
  <c r="I297" i="4"/>
  <c r="I296" i="4"/>
  <c r="I295" i="4"/>
  <c r="I294" i="4"/>
  <c r="I289" i="4"/>
  <c r="I288" i="4"/>
  <c r="I287" i="4"/>
  <c r="I286" i="4"/>
  <c r="I285" i="4"/>
  <c r="I284" i="4"/>
  <c r="I283" i="4"/>
  <c r="I278" i="4"/>
  <c r="I277" i="4"/>
  <c r="I276" i="4"/>
  <c r="I275" i="4"/>
  <c r="I274" i="4"/>
  <c r="I273" i="4"/>
  <c r="I272" i="4"/>
  <c r="I267" i="4"/>
  <c r="I266" i="4"/>
  <c r="I265" i="4"/>
  <c r="I264" i="4"/>
  <c r="I263" i="4"/>
  <c r="I262" i="4"/>
  <c r="I261" i="4"/>
  <c r="I256" i="4"/>
  <c r="I255" i="4"/>
  <c r="I254" i="4"/>
  <c r="I253" i="4"/>
  <c r="I252" i="4"/>
  <c r="I251" i="4"/>
  <c r="I250" i="4"/>
  <c r="I245" i="4"/>
  <c r="I244" i="4"/>
  <c r="I243" i="4"/>
  <c r="I242" i="4"/>
  <c r="I241" i="4"/>
  <c r="I240" i="4"/>
  <c r="I239" i="4"/>
  <c r="I238" i="4"/>
  <c r="E340" i="4"/>
  <c r="E363" i="4"/>
  <c r="I231" i="4"/>
  <c r="I230" i="4"/>
  <c r="I229" i="4"/>
  <c r="I228" i="4"/>
  <c r="I227" i="4"/>
  <c r="I226" i="4"/>
  <c r="I225" i="4"/>
  <c r="I220" i="4"/>
  <c r="I219" i="4"/>
  <c r="I218" i="4"/>
  <c r="I217" i="4"/>
  <c r="I216" i="4"/>
  <c r="I215" i="4"/>
  <c r="I214" i="4"/>
  <c r="I209" i="4"/>
  <c r="I208" i="4"/>
  <c r="I207" i="4"/>
  <c r="I206" i="4"/>
  <c r="I205" i="4"/>
  <c r="I204" i="4"/>
  <c r="I203" i="4"/>
  <c r="I198" i="4"/>
  <c r="I197" i="4"/>
  <c r="I196" i="4"/>
  <c r="I195" i="4"/>
  <c r="I194" i="4"/>
  <c r="I193" i="4"/>
  <c r="I192" i="4"/>
  <c r="I187" i="4"/>
  <c r="I186" i="4"/>
  <c r="I185" i="4"/>
  <c r="I184" i="4"/>
  <c r="I183" i="4"/>
  <c r="I182" i="4"/>
  <c r="I181" i="4"/>
  <c r="I176" i="4"/>
  <c r="I175" i="4"/>
  <c r="I174" i="4"/>
  <c r="I173" i="4"/>
  <c r="I172" i="4"/>
  <c r="I171" i="4"/>
  <c r="I170" i="4"/>
  <c r="I169" i="4"/>
  <c r="I162" i="4"/>
  <c r="I161" i="4"/>
  <c r="I160" i="4"/>
  <c r="I159" i="4"/>
  <c r="I158" i="4"/>
  <c r="I157" i="4"/>
  <c r="I156" i="4"/>
  <c r="I151" i="4"/>
  <c r="I150" i="4"/>
  <c r="I149" i="4"/>
  <c r="I148" i="4"/>
  <c r="I147" i="4"/>
  <c r="I146" i="4"/>
  <c r="I145" i="4"/>
  <c r="I140" i="4"/>
  <c r="I139" i="4"/>
  <c r="I138" i="4"/>
  <c r="I137" i="4"/>
  <c r="I136" i="4"/>
  <c r="I135" i="4"/>
  <c r="I134" i="4"/>
  <c r="I129" i="4"/>
  <c r="I128" i="4"/>
  <c r="I127" i="4"/>
  <c r="I126" i="4"/>
  <c r="I125" i="4"/>
  <c r="I124" i="4"/>
  <c r="I123" i="4"/>
  <c r="I118" i="4"/>
  <c r="I117" i="4"/>
  <c r="I116" i="4"/>
  <c r="I115" i="4"/>
  <c r="I114" i="4"/>
  <c r="I113" i="4"/>
  <c r="I112" i="4"/>
  <c r="I107" i="4"/>
  <c r="I106" i="4"/>
  <c r="I105" i="4"/>
  <c r="I104" i="4"/>
  <c r="I103" i="4"/>
  <c r="I102" i="4"/>
  <c r="I101" i="4"/>
  <c r="I100" i="4"/>
  <c r="I87" i="4"/>
  <c r="I88" i="4"/>
  <c r="I89" i="4"/>
  <c r="I90" i="4"/>
  <c r="I91" i="4"/>
  <c r="I92" i="4"/>
  <c r="I86" i="4"/>
  <c r="I76" i="4"/>
  <c r="I77" i="4"/>
  <c r="I78" i="4"/>
  <c r="I79" i="4"/>
  <c r="I80" i="4"/>
  <c r="I81" i="4"/>
  <c r="I75" i="4"/>
  <c r="I65" i="4"/>
  <c r="I66" i="4"/>
  <c r="I67" i="4"/>
  <c r="I68" i="4"/>
  <c r="I69" i="4"/>
  <c r="I70" i="4"/>
  <c r="I54" i="4"/>
  <c r="I55" i="4"/>
  <c r="I56" i="4"/>
  <c r="I57" i="4"/>
  <c r="I58" i="4"/>
  <c r="I59" i="4"/>
  <c r="I53" i="4"/>
  <c r="I43" i="4"/>
  <c r="I44" i="4"/>
  <c r="I45" i="4"/>
  <c r="I46" i="4"/>
  <c r="I47" i="4"/>
  <c r="I48" i="4"/>
  <c r="I42" i="4"/>
  <c r="I31" i="4"/>
  <c r="I32" i="4"/>
  <c r="I33" i="4"/>
  <c r="I34" i="4"/>
  <c r="I35" i="4"/>
  <c r="I36" i="4"/>
  <c r="I37" i="4"/>
  <c r="I30" i="4"/>
  <c r="H317" i="2"/>
  <c r="H318" i="2"/>
  <c r="H319" i="2"/>
  <c r="H320" i="2"/>
  <c r="F89" i="2"/>
  <c r="F88" i="2"/>
  <c r="F83" i="2"/>
  <c r="F82" i="2"/>
  <c r="F85" i="2" s="1"/>
  <c r="E382" i="4"/>
  <c r="B320" i="2"/>
  <c r="B317" i="2"/>
  <c r="B318" i="2"/>
  <c r="B319" i="2"/>
  <c r="F150" i="2"/>
  <c r="F144" i="2"/>
  <c r="F138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02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03" i="2"/>
  <c r="B302" i="2"/>
  <c r="H275" i="2"/>
  <c r="H276" i="2"/>
  <c r="H277" i="2"/>
  <c r="H278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74" i="2"/>
  <c r="B295" i="2"/>
  <c r="B296" i="2"/>
  <c r="B297" i="2"/>
  <c r="B298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74" i="2"/>
  <c r="D435" i="4"/>
  <c r="D394" i="4"/>
  <c r="H280" i="2" s="1"/>
  <c r="B61" i="1"/>
  <c r="B62" i="1"/>
  <c r="F195" i="2"/>
  <c r="F194" i="2"/>
  <c r="C193" i="2"/>
  <c r="F421" i="2"/>
  <c r="F416" i="2"/>
  <c r="F411" i="2"/>
  <c r="F407" i="2"/>
  <c r="F412" i="2" s="1"/>
  <c r="F406" i="2"/>
  <c r="E109" i="4" l="1"/>
  <c r="F125" i="2" s="1"/>
  <c r="F128" i="2" s="1"/>
  <c r="E222" i="4"/>
  <c r="F59" i="2" s="1"/>
  <c r="E302" i="4"/>
  <c r="F70" i="2" s="1"/>
  <c r="E94" i="4"/>
  <c r="F66" i="2" s="1"/>
  <c r="F72" i="2" s="1"/>
  <c r="E200" i="4"/>
  <c r="F41" i="2" s="1"/>
  <c r="E280" i="4"/>
  <c r="F52" i="2" s="1"/>
  <c r="E131" i="4"/>
  <c r="E178" i="4"/>
  <c r="F22" i="2" s="1"/>
  <c r="E233" i="4"/>
  <c r="F68" i="2" s="1"/>
  <c r="E291" i="4"/>
  <c r="F61" i="2" s="1"/>
  <c r="E269" i="4"/>
  <c r="F43" i="2" s="1"/>
  <c r="E258" i="4"/>
  <c r="F34" i="2" s="1"/>
  <c r="E247" i="4"/>
  <c r="F24" i="2" s="1"/>
  <c r="E211" i="4"/>
  <c r="F50" i="2" s="1"/>
  <c r="E189" i="4"/>
  <c r="F32" i="2" s="1"/>
  <c r="E164" i="4"/>
  <c r="F149" i="2" s="1"/>
  <c r="E153" i="4"/>
  <c r="F143" i="2" s="1"/>
  <c r="E142" i="4"/>
  <c r="F137" i="2" s="1"/>
  <c r="E120" i="4"/>
  <c r="F131" i="2" s="1"/>
  <c r="E72" i="4"/>
  <c r="F48" i="2" s="1"/>
  <c r="F54" i="2" s="1"/>
  <c r="E61" i="4"/>
  <c r="F39" i="2" s="1"/>
  <c r="E39" i="4"/>
  <c r="F20" i="2" s="1"/>
  <c r="E50" i="4"/>
  <c r="F30" i="2" s="1"/>
  <c r="E83" i="4"/>
  <c r="F57" i="2" s="1"/>
  <c r="F63" i="2" s="1"/>
  <c r="H321" i="2"/>
  <c r="F417" i="2"/>
  <c r="F418" i="2" s="1"/>
  <c r="F413" i="2"/>
  <c r="F422" i="2"/>
  <c r="F423" i="2" s="1"/>
  <c r="F408" i="2"/>
  <c r="B51" i="1"/>
  <c r="F396" i="2"/>
  <c r="F397" i="2"/>
  <c r="F390" i="2"/>
  <c r="F389" i="2"/>
  <c r="B5" i="2"/>
  <c r="F377" i="2"/>
  <c r="F36" i="2" l="1"/>
  <c r="F26" i="2"/>
  <c r="F45" i="2"/>
  <c r="F9" i="1" s="1"/>
  <c r="F10" i="1"/>
  <c r="H10" i="1" s="1"/>
  <c r="F12" i="1"/>
  <c r="H12" i="1" s="1"/>
  <c r="F11" i="1"/>
  <c r="H11" i="1" s="1"/>
  <c r="F425" i="2"/>
  <c r="D438" i="4"/>
  <c r="A3" i="5"/>
  <c r="F50" i="1"/>
  <c r="F376" i="2"/>
  <c r="D393" i="4"/>
  <c r="F78" i="2"/>
  <c r="F77" i="2"/>
  <c r="F387" i="2"/>
  <c r="F379" i="2"/>
  <c r="F378" i="2"/>
  <c r="F368" i="2"/>
  <c r="F367" i="2"/>
  <c r="F363" i="2"/>
  <c r="F362" i="2"/>
  <c r="F355" i="2"/>
  <c r="F354" i="2"/>
  <c r="F345" i="2"/>
  <c r="F344" i="2"/>
  <c r="F338" i="2"/>
  <c r="F337" i="2"/>
  <c r="F257" i="2"/>
  <c r="F264" i="2" s="1"/>
  <c r="F256" i="2"/>
  <c r="F252" i="2"/>
  <c r="F251" i="2"/>
  <c r="F250" i="2"/>
  <c r="F244" i="2"/>
  <c r="F239" i="2"/>
  <c r="F238" i="2"/>
  <c r="F234" i="2"/>
  <c r="F233" i="2"/>
  <c r="F226" i="2"/>
  <c r="F225" i="2"/>
  <c r="F224" i="2"/>
  <c r="F218" i="2"/>
  <c r="F217" i="2"/>
  <c r="F211" i="2"/>
  <c r="F210" i="2"/>
  <c r="F206" i="2"/>
  <c r="F205" i="2"/>
  <c r="F204" i="2"/>
  <c r="D413" i="4" l="1"/>
  <c r="F335" i="2" s="1"/>
  <c r="H279" i="2"/>
  <c r="F235" i="2"/>
  <c r="F369" i="2"/>
  <c r="F386" i="2"/>
  <c r="F380" i="2"/>
  <c r="F382" i="2" s="1"/>
  <c r="F190" i="2"/>
  <c r="F196" i="2" s="1"/>
  <c r="F197" i="2" s="1"/>
  <c r="F189" i="2"/>
  <c r="F184" i="2"/>
  <c r="F183" i="2"/>
  <c r="F182" i="2"/>
  <c r="F180" i="2"/>
  <c r="F179" i="2"/>
  <c r="F166" i="2"/>
  <c r="F175" i="2"/>
  <c r="F174" i="2"/>
  <c r="F173" i="2"/>
  <c r="F172" i="2"/>
  <c r="F171" i="2"/>
  <c r="F167" i="2"/>
  <c r="F165" i="2"/>
  <c r="F164" i="2"/>
  <c r="F160" i="2"/>
  <c r="F159" i="2"/>
  <c r="F158" i="2"/>
  <c r="F157" i="2"/>
  <c r="F133" i="2"/>
  <c r="F132" i="2"/>
  <c r="F245" i="2"/>
  <c r="B3" i="2"/>
  <c r="B10" i="2"/>
  <c r="B9" i="2"/>
  <c r="B7" i="2"/>
  <c r="F139" i="2"/>
  <c r="F140" i="2" s="1"/>
  <c r="F118" i="2"/>
  <c r="F117" i="2"/>
  <c r="F116" i="2"/>
  <c r="F115" i="2"/>
  <c r="F109" i="2"/>
  <c r="F108" i="2"/>
  <c r="F107" i="2"/>
  <c r="F106" i="2"/>
  <c r="F102" i="2"/>
  <c r="F97" i="2"/>
  <c r="F103" i="2" s="1"/>
  <c r="B3" i="1"/>
  <c r="B324" i="2"/>
  <c r="B323" i="2"/>
  <c r="B327" i="2"/>
  <c r="B325" i="2"/>
  <c r="B299" i="2"/>
  <c r="F134" i="2" l="1"/>
  <c r="F145" i="2"/>
  <c r="F146" i="2" s="1"/>
  <c r="F161" i="2"/>
  <c r="F246" i="2"/>
  <c r="F24" i="1" s="1"/>
  <c r="F7" i="1"/>
  <c r="F119" i="2"/>
  <c r="H55" i="1"/>
  <c r="F60" i="1"/>
  <c r="H50" i="1"/>
  <c r="F151" i="2" l="1"/>
  <c r="F152" i="2" s="1"/>
  <c r="F44" i="1"/>
  <c r="H325" i="2"/>
  <c r="H299" i="2"/>
  <c r="F342" i="2"/>
  <c r="F223" i="2"/>
  <c r="F227" i="2" s="1"/>
  <c r="F230" i="2" s="1"/>
  <c r="F359" i="2" l="1"/>
  <c r="F343" i="2"/>
  <c r="F346" i="2" s="1"/>
  <c r="F34" i="1" s="1"/>
  <c r="H34" i="1" s="1"/>
  <c r="F336" i="2"/>
  <c r="F352" i="2" s="1"/>
  <c r="F351" i="2"/>
  <c r="D437" i="4"/>
  <c r="F253" i="2"/>
  <c r="F25" i="1" s="1"/>
  <c r="H25" i="1" s="1"/>
  <c r="F207" i="2"/>
  <c r="F22" i="1"/>
  <c r="H22" i="1" s="1"/>
  <c r="F391" i="2"/>
  <c r="F393" i="2" s="1"/>
  <c r="F399" i="2"/>
  <c r="F168" i="2"/>
  <c r="F176" i="2"/>
  <c r="F185" i="2"/>
  <c r="F212" i="2"/>
  <c r="F258" i="2"/>
  <c r="F26" i="1" s="1"/>
  <c r="H26" i="1" s="1"/>
  <c r="H323" i="2"/>
  <c r="H327" i="2" s="1"/>
  <c r="H44" i="1"/>
  <c r="H9" i="1"/>
  <c r="F79" i="2"/>
  <c r="F112" i="2"/>
  <c r="F219" i="2"/>
  <c r="F20" i="1" s="1"/>
  <c r="H20" i="1" s="1"/>
  <c r="F240" i="2"/>
  <c r="F23" i="1" s="1"/>
  <c r="H23" i="1" s="1"/>
  <c r="F39" i="1"/>
  <c r="H39" i="1" s="1"/>
  <c r="F93" i="2" l="1"/>
  <c r="F16" i="1" s="1"/>
  <c r="H16" i="1" s="1"/>
  <c r="F154" i="2"/>
  <c r="F401" i="2"/>
  <c r="E342" i="4" s="1"/>
  <c r="H7" i="1"/>
  <c r="F360" i="2"/>
  <c r="F364" i="2" s="1"/>
  <c r="F38" i="1" s="1"/>
  <c r="H38" i="1" s="1"/>
  <c r="F356" i="2"/>
  <c r="F37" i="1" s="1"/>
  <c r="H37" i="1" s="1"/>
  <c r="F339" i="2"/>
  <c r="F33" i="1" s="1"/>
  <c r="F21" i="1"/>
  <c r="H21" i="1" s="1"/>
  <c r="D440" i="4"/>
  <c r="H24" i="1"/>
  <c r="F121" i="2"/>
  <c r="F17" i="1" s="1"/>
  <c r="H17" i="1" s="1"/>
  <c r="F8" i="1"/>
  <c r="F13" i="1" s="1"/>
  <c r="F214" i="2"/>
  <c r="F19" i="1" s="1"/>
  <c r="H19" i="1" s="1"/>
  <c r="H33" i="1" l="1"/>
  <c r="H8" i="1"/>
  <c r="H13" i="1" s="1"/>
  <c r="F40" i="1" l="1"/>
  <c r="F41" i="1" s="1"/>
  <c r="F188" i="2"/>
  <c r="F191" i="2" s="1"/>
  <c r="F200" i="2" l="1"/>
  <c r="F18" i="1" s="1"/>
  <c r="H18" i="1" s="1"/>
  <c r="H27" i="1" s="1"/>
  <c r="H40" i="1"/>
  <c r="H41" i="1" s="1"/>
  <c r="F27" i="1" l="1"/>
  <c r="F265" i="2" l="1"/>
  <c r="F28" i="1" s="1"/>
  <c r="H28" i="1" l="1"/>
  <c r="H29" i="1" s="1"/>
  <c r="H42" i="1" s="1"/>
  <c r="H46" i="1" s="1"/>
  <c r="F29" i="1"/>
  <c r="H58" i="1" l="1"/>
  <c r="H57" i="1"/>
  <c r="F57" i="1"/>
  <c r="F56" i="1"/>
  <c r="H56" i="1"/>
  <c r="F42" i="1"/>
  <c r="F46" i="1" l="1"/>
  <c r="F58" i="1"/>
  <c r="H59" i="1" l="1"/>
  <c r="F59" i="1"/>
</calcChain>
</file>

<file path=xl/comments1.xml><?xml version="1.0" encoding="utf-8"?>
<comments xmlns="http://schemas.openxmlformats.org/spreadsheetml/2006/main">
  <authors>
    <author>Damir Bolat</author>
  </authors>
  <commentList>
    <comment ref="A371" authorId="0">
      <text>
        <r>
          <rPr>
            <b/>
            <sz val="9"/>
            <color indexed="81"/>
            <rFont val="Tahoma"/>
            <family val="2"/>
            <charset val="204"/>
          </rPr>
          <t>Damir Bolat:</t>
        </r>
        <r>
          <rPr>
            <sz val="9"/>
            <color indexed="81"/>
            <rFont val="Tahoma"/>
            <family val="2"/>
            <charset val="204"/>
          </rPr>
          <t xml:space="preserve">
Альтернативные издержки.
Средневзвешенная ставка по депозитам минус уровень инфляции.</t>
        </r>
      </text>
    </comment>
  </commentList>
</comments>
</file>

<file path=xl/sharedStrings.xml><?xml version="1.0" encoding="utf-8"?>
<sst xmlns="http://schemas.openxmlformats.org/spreadsheetml/2006/main" count="1721" uniqueCount="379">
  <si>
    <t/>
  </si>
  <si>
    <t>%</t>
  </si>
  <si>
    <t>x</t>
  </si>
  <si>
    <t>÷</t>
  </si>
  <si>
    <t>=</t>
  </si>
  <si>
    <t>+</t>
  </si>
  <si>
    <t>-</t>
  </si>
  <si>
    <t>2</t>
  </si>
  <si>
    <t xml:space="preserve">    1.02   Сено</t>
  </si>
  <si>
    <t xml:space="preserve">    1.03   Соли и Минералы</t>
  </si>
  <si>
    <t>Итого расходов на кормление</t>
  </si>
  <si>
    <t>Дата:</t>
  </si>
  <si>
    <t>A.  Эксплуатационные расходы</t>
  </si>
  <si>
    <t>1.  Расходы на кормление</t>
  </si>
  <si>
    <t>Итого</t>
  </si>
  <si>
    <t>Общие затраты</t>
  </si>
  <si>
    <t>2.  Прочие эксплуатационные расходы</t>
  </si>
  <si>
    <t xml:space="preserve">    2.01   Солома</t>
  </si>
  <si>
    <t xml:space="preserve">    2.02   Ветеринария и расходные материалы</t>
  </si>
  <si>
    <t xml:space="preserve">    2.04   Топливо, ремонт и обслуживание</t>
  </si>
  <si>
    <t xml:space="preserve">    2.05   Ком. Услуги</t>
  </si>
  <si>
    <t xml:space="preserve">    2.07   Падеж скота</t>
  </si>
  <si>
    <t xml:space="preserve">    2.08   Вывоз навоза</t>
  </si>
  <si>
    <t xml:space="preserve">    2.09   Страхование</t>
  </si>
  <si>
    <t xml:space="preserve">    2.10   Ремонт стада</t>
  </si>
  <si>
    <t xml:space="preserve">    2.11   Прочее</t>
  </si>
  <si>
    <t>Промежуточный итог</t>
  </si>
  <si>
    <t>B.  Постоянные затраты</t>
  </si>
  <si>
    <t>3.  Амортизация</t>
  </si>
  <si>
    <t xml:space="preserve">    3.01   Здания</t>
  </si>
  <si>
    <t xml:space="preserve">    3.02   Техника и Оборудование</t>
  </si>
  <si>
    <t>4.  Вложения</t>
  </si>
  <si>
    <t xml:space="preserve">    4.01   Здания</t>
  </si>
  <si>
    <t xml:space="preserve">    4.02   Техника и Оборудование</t>
  </si>
  <si>
    <t xml:space="preserve">    4.03   Скот</t>
  </si>
  <si>
    <t xml:space="preserve">    4.04   Пастбища и ограждения</t>
  </si>
  <si>
    <t>Итого постоянных затрат</t>
  </si>
  <si>
    <t>Итого эксплуатационных и постоянных затрат</t>
  </si>
  <si>
    <t>Общая себестоимость производства</t>
  </si>
  <si>
    <t>Анализ безубыточности</t>
  </si>
  <si>
    <t xml:space="preserve">    Валовый доход</t>
  </si>
  <si>
    <t xml:space="preserve"> на одну корову</t>
  </si>
  <si>
    <t>Профиль стада</t>
  </si>
  <si>
    <t>Кол-во коров</t>
  </si>
  <si>
    <t>Кол-во быков</t>
  </si>
  <si>
    <t>Средний вес телят</t>
  </si>
  <si>
    <t>Уровень смертности коров</t>
  </si>
  <si>
    <t>Доля ремонта коров</t>
  </si>
  <si>
    <t>Доля ремонта быков</t>
  </si>
  <si>
    <t>ед.изм.</t>
  </si>
  <si>
    <t>кг</t>
  </si>
  <si>
    <t>Стоимость кормления</t>
  </si>
  <si>
    <t>Стоимость и требования кормления</t>
  </si>
  <si>
    <t>Требования в кормлении</t>
  </si>
  <si>
    <t>тг/ед</t>
  </si>
  <si>
    <t>Ячмень</t>
  </si>
  <si>
    <t>Прочие эксплуатационные расходы</t>
  </si>
  <si>
    <t>Солома</t>
  </si>
  <si>
    <t>Ветеринария и расходные материалы</t>
  </si>
  <si>
    <t xml:space="preserve">     Лечение телят</t>
  </si>
  <si>
    <t xml:space="preserve">     Лечение коров</t>
  </si>
  <si>
    <t xml:space="preserve">        Транспортировка</t>
  </si>
  <si>
    <t xml:space="preserve">            Итого км (в оба конца)</t>
  </si>
  <si>
    <t xml:space="preserve">            Кол-во визитов в год</t>
  </si>
  <si>
    <t>Затраты по разведению</t>
  </si>
  <si>
    <t>Затраты по контролю здоровья</t>
  </si>
  <si>
    <t>Определение кач-ва спермы</t>
  </si>
  <si>
    <t>Ремонт быков</t>
  </si>
  <si>
    <t>Ликвидационная стоим-ть</t>
  </si>
  <si>
    <t xml:space="preserve">             Кол-во осемененных</t>
  </si>
  <si>
    <t>Прочие альтернативы по разведению</t>
  </si>
  <si>
    <t>Топливо, Масло, Тех. Обслуживание</t>
  </si>
  <si>
    <t>Техника - расходы на топливо</t>
  </si>
  <si>
    <t xml:space="preserve">                     -  ремонтные работы</t>
  </si>
  <si>
    <t>Здания, ограждения и т.д.</t>
  </si>
  <si>
    <t xml:space="preserve">  Ком.услуги</t>
  </si>
  <si>
    <t xml:space="preserve">   Вода</t>
  </si>
  <si>
    <t xml:space="preserve">   Электричество</t>
  </si>
  <si>
    <t xml:space="preserve">   Газ</t>
  </si>
  <si>
    <t xml:space="preserve">   Телефония/интернет</t>
  </si>
  <si>
    <t xml:space="preserve">          Кол-во выбракованных коров</t>
  </si>
  <si>
    <t xml:space="preserve">          Стоимость грузовых перевозок</t>
  </si>
  <si>
    <t xml:space="preserve">  Вывоз навоза</t>
  </si>
  <si>
    <t xml:space="preserve">   Ежегодная стоимость вывоза</t>
  </si>
  <si>
    <t>км</t>
  </si>
  <si>
    <t xml:space="preserve">  Страхование</t>
  </si>
  <si>
    <t xml:space="preserve">  Прочее</t>
  </si>
  <si>
    <t xml:space="preserve">   Ежегодные затраты</t>
  </si>
  <si>
    <t>Ремонт стада (только Коровы)</t>
  </si>
  <si>
    <t>Капитальные затраты</t>
  </si>
  <si>
    <t xml:space="preserve">   Здания и водопров. система</t>
  </si>
  <si>
    <t xml:space="preserve">    Ветрозащитное ограждение</t>
  </si>
  <si>
    <t xml:space="preserve">    Ограждение откормочного загона</t>
  </si>
  <si>
    <t xml:space="preserve">    Навесы для телят</t>
  </si>
  <si>
    <t>Первонач. стоимость</t>
  </si>
  <si>
    <t>Ликвидац. стоим-ть</t>
  </si>
  <si>
    <t>Срок эксплуатации</t>
  </si>
  <si>
    <t>лет</t>
  </si>
  <si>
    <t xml:space="preserve">  Техника и Оборудование</t>
  </si>
  <si>
    <t xml:space="preserve">    Итого</t>
  </si>
  <si>
    <t xml:space="preserve">    Общая стом-ть зданий, техники</t>
  </si>
  <si>
    <t xml:space="preserve">       и оборудования</t>
  </si>
  <si>
    <t xml:space="preserve">    Общая стоим-ть плем.стада</t>
  </si>
  <si>
    <t xml:space="preserve">    Сиситема полива пастбища</t>
  </si>
  <si>
    <t xml:space="preserve">    Заборы</t>
  </si>
  <si>
    <t xml:space="preserve">   Итого</t>
  </si>
  <si>
    <t xml:space="preserve">    Общие капитальные затраты</t>
  </si>
  <si>
    <t xml:space="preserve">   Затраты на пастбище</t>
  </si>
  <si>
    <t xml:space="preserve">    2.03   Расходы на разведение</t>
  </si>
  <si>
    <t xml:space="preserve">    A. Эксплуатационные расходы</t>
  </si>
  <si>
    <t xml:space="preserve">    B. Эксплуатационные расходы и трудозатраты</t>
  </si>
  <si>
    <t xml:space="preserve">    C. Эксплуатационные и фиксированные расходы</t>
  </si>
  <si>
    <t xml:space="preserve">    D. Экспл., фикс. расходы и трудозатраты</t>
  </si>
  <si>
    <t>Безубыточная</t>
  </si>
  <si>
    <t>Цена</t>
  </si>
  <si>
    <t>Добавочный доход</t>
  </si>
  <si>
    <t>на корову</t>
  </si>
  <si>
    <t xml:space="preserve">         тг/кг   </t>
  </si>
  <si>
    <t>Общие экспл. расходы</t>
  </si>
  <si>
    <t>Производственный рабочий лист племенного хозяйства</t>
  </si>
  <si>
    <t>Предположения</t>
  </si>
  <si>
    <t>1.  Данная смета рассчитывает себестоимость производства в племенном хозяйстве.</t>
  </si>
  <si>
    <t>5.  Ремонтные телки оценены по справедливой рыночной стоимости.</t>
  </si>
  <si>
    <t>бык(а/ов)</t>
  </si>
  <si>
    <t>голов(а/ы)</t>
  </si>
  <si>
    <t xml:space="preserve">    Поилки</t>
  </si>
  <si>
    <t>A. Эксплуатационные расходы</t>
  </si>
  <si>
    <t>за тонну</t>
  </si>
  <si>
    <t>1.03  Соли и Минералы</t>
  </si>
  <si>
    <t>за кг</t>
  </si>
  <si>
    <t>2.  Прочие экспл.расходы</t>
  </si>
  <si>
    <t>тонн(а/ы) на корову в год</t>
  </si>
  <si>
    <t>2.02  Ветеринария и расходные материалы</t>
  </si>
  <si>
    <t>% приплода телят</t>
  </si>
  <si>
    <t>Километраж</t>
  </si>
  <si>
    <t>за км</t>
  </si>
  <si>
    <t>визит(а/ов)</t>
  </si>
  <si>
    <t xml:space="preserve">на корову </t>
  </si>
  <si>
    <t>2.03  Затраты по разведению</t>
  </si>
  <si>
    <t>Корм для быков</t>
  </si>
  <si>
    <t>Сено</t>
  </si>
  <si>
    <t>коров(а/ы)</t>
  </si>
  <si>
    <t>Себестоимость производства в племенном хозяйстве - Ввод данных</t>
  </si>
  <si>
    <t>Кол-во тонн на корову в год</t>
  </si>
  <si>
    <t>Кол-во тонн на быка в год</t>
  </si>
  <si>
    <t>Стоим-ть за тонну</t>
  </si>
  <si>
    <t>дней</t>
  </si>
  <si>
    <t>на быка</t>
  </si>
  <si>
    <t>тонн(а/ы) на быка в год</t>
  </si>
  <si>
    <t>определение кач-ва спермы</t>
  </si>
  <si>
    <t>общие вет.расходы на быка</t>
  </si>
  <si>
    <t>Солома для быков</t>
  </si>
  <si>
    <t>Ветеринария для быков</t>
  </si>
  <si>
    <t>Ремонт Быков</t>
  </si>
  <si>
    <t>Вложения в Быков</t>
  </si>
  <si>
    <t>Пастбищные затраты на Быков</t>
  </si>
  <si>
    <t>стоим-ть быка</t>
  </si>
  <si>
    <t>ликвид. стоим-ть быка</t>
  </si>
  <si>
    <t>% доля ремонта</t>
  </si>
  <si>
    <t>среднее значение</t>
  </si>
  <si>
    <t>2.04  Топливо, Масло, Тех. Обслуживание</t>
  </si>
  <si>
    <t>Техника</t>
  </si>
  <si>
    <t>ежегодные затраты на топливо</t>
  </si>
  <si>
    <t>масло, ремонт и тех.обслуживание</t>
  </si>
  <si>
    <t>ремонт и тех.обслуживание</t>
  </si>
  <si>
    <t>ежегодные расходы</t>
  </si>
  <si>
    <t>2.05 Ком.услуги</t>
  </si>
  <si>
    <t>Грузовые перевозки</t>
  </si>
  <si>
    <t>выбракованных коров</t>
  </si>
  <si>
    <t>2.11  Прочее</t>
  </si>
  <si>
    <t>4.02  Техника и Оборудование</t>
  </si>
  <si>
    <t>% уровень смертности</t>
  </si>
  <si>
    <t>2.08  Вывоз навоза</t>
  </si>
  <si>
    <t>ежегодные затраты на вывоз</t>
  </si>
  <si>
    <t>2.09 Страхование</t>
  </si>
  <si>
    <t>2.10   Ремонт стада</t>
  </si>
  <si>
    <t>2.07  Потери от падежа</t>
  </si>
  <si>
    <t>общие затраты на офис</t>
  </si>
  <si>
    <t xml:space="preserve">    Отелочный блок</t>
  </si>
  <si>
    <t xml:space="preserve">         Итого</t>
  </si>
  <si>
    <t>B. Постоянные затраты</t>
  </si>
  <si>
    <t>Эксплуатационный срок</t>
  </si>
  <si>
    <t>Первонач. стоим-ть - Ликвид. стоим-ть</t>
  </si>
  <si>
    <t>3.02  Техника и Оборудование</t>
  </si>
  <si>
    <t>3.01  Здания и водопроводная система (за искл. системы полива пастбища)</t>
  </si>
  <si>
    <t>первонач. стоим.</t>
  </si>
  <si>
    <t>ликвид. стоим.</t>
  </si>
  <si>
    <t>лет эксплуат.срок</t>
  </si>
  <si>
    <t>4.03  Скот</t>
  </si>
  <si>
    <t>4.04  Пастбище</t>
  </si>
  <si>
    <t xml:space="preserve">   Система полива пастбища</t>
  </si>
  <si>
    <t>Амортизация</t>
  </si>
  <si>
    <t>ликвид. стоим-ть</t>
  </si>
  <si>
    <t>лет экспл.срок</t>
  </si>
  <si>
    <t>система и источник</t>
  </si>
  <si>
    <t>Общая амортизация</t>
  </si>
  <si>
    <t xml:space="preserve">Вложения </t>
  </si>
  <si>
    <t xml:space="preserve">  Всего вложений</t>
  </si>
  <si>
    <t>Для дополнительной информации свяжитесь с Республиканской палатой ангус Казахстана</t>
  </si>
  <si>
    <t>коров(а/ы) пало(а)</t>
  </si>
  <si>
    <t>Лечение и вакцинация телят</t>
  </si>
  <si>
    <t>Лечение и вакцинация коров</t>
  </si>
  <si>
    <t>4.01  Здания</t>
  </si>
  <si>
    <t>Менеджер</t>
  </si>
  <si>
    <t>Зоотехник</t>
  </si>
  <si>
    <t xml:space="preserve">   Менеджер</t>
  </si>
  <si>
    <t>тг</t>
  </si>
  <si>
    <t xml:space="preserve">   Зоотехник</t>
  </si>
  <si>
    <t xml:space="preserve">   Ветеринар</t>
  </si>
  <si>
    <t xml:space="preserve">   Скотник</t>
  </si>
  <si>
    <t>Ветеринар</t>
  </si>
  <si>
    <t>Скотник</t>
  </si>
  <si>
    <t xml:space="preserve">  Затраты на оплату труда</t>
  </si>
  <si>
    <t>C.  Затраты на оплату труда</t>
  </si>
  <si>
    <t>C. Затраты на оплату труда</t>
  </si>
  <si>
    <t>Итого затрат</t>
  </si>
  <si>
    <t>на оплату труда</t>
  </si>
  <si>
    <t>на корову в год</t>
  </si>
  <si>
    <t>2.  Здания и оборудование оценены согласно первоначальной стоимости.</t>
  </si>
  <si>
    <t>3.  Весь корм является купленным.</t>
  </si>
  <si>
    <t>4.  Вывоз навоза производится на контрактной основе.</t>
  </si>
  <si>
    <t>3.  Весь корм оценен по рыночной стоимости</t>
  </si>
  <si>
    <t>тг вложений на корову</t>
  </si>
  <si>
    <t>Средняя стоимость за Корову</t>
  </si>
  <si>
    <t>Ремонтные расходы за Телку</t>
  </si>
  <si>
    <t>Цена за Выбракованную корову</t>
  </si>
  <si>
    <t>за голову</t>
  </si>
  <si>
    <t xml:space="preserve">      Обязательное страхование скота</t>
  </si>
  <si>
    <t>Себестоимость на Корову</t>
  </si>
  <si>
    <t>общие затраты на страхование</t>
  </si>
  <si>
    <t>тг на голову</t>
  </si>
  <si>
    <t>тг за км</t>
  </si>
  <si>
    <t>тг за кг</t>
  </si>
  <si>
    <t>тг за быка</t>
  </si>
  <si>
    <t xml:space="preserve">        Искусственное оплодотворение:</t>
  </si>
  <si>
    <t xml:space="preserve">             Стоимость за Корову или Телку</t>
  </si>
  <si>
    <t xml:space="preserve">    2.06   Реализация и Транспортировка</t>
  </si>
  <si>
    <t xml:space="preserve">  Реализация и Транспортировка (Выбраковка)</t>
  </si>
  <si>
    <t xml:space="preserve">   Грузовые перевозки:</t>
  </si>
  <si>
    <t>2.12  Выплата займа (лизинг)</t>
  </si>
  <si>
    <t>2.01  Солома</t>
  </si>
  <si>
    <t xml:space="preserve">    2.12   Выплата займа (лизинг)</t>
  </si>
  <si>
    <t>2.06 Реализация и Транспортировка</t>
  </si>
  <si>
    <t>тг в год</t>
  </si>
  <si>
    <t>Выбракованные Коров</t>
  </si>
  <si>
    <t>тг за голову (стоимость груз.перевозок)</t>
  </si>
  <si>
    <t>за год, аренд.ставка</t>
  </si>
  <si>
    <t>% ставка инвестирования</t>
  </si>
  <si>
    <r>
      <t>Первонач. стоим. + Ликвид. стоим.</t>
    </r>
    <r>
      <rPr>
        <b/>
        <sz val="12"/>
        <rFont val="Arial"/>
        <family val="2"/>
        <charset val="204"/>
      </rPr>
      <t xml:space="preserve"> х Ставка инвестирования</t>
    </r>
  </si>
  <si>
    <t>тг за голову</t>
  </si>
  <si>
    <t xml:space="preserve">    Стоимость аренды (вкл. налоги)</t>
  </si>
  <si>
    <t xml:space="preserve">   Аренда земли (вкл. налоги)</t>
  </si>
  <si>
    <t xml:space="preserve">  Срок займа</t>
  </si>
  <si>
    <t>Рассчитанная стоимость</t>
  </si>
  <si>
    <t xml:space="preserve">  Ставка инвестирования</t>
  </si>
  <si>
    <t>за выбракованную корову</t>
  </si>
  <si>
    <t>за ремонтную телку</t>
  </si>
  <si>
    <t>Рассчеты данной сметы основаны на ряде предположений, которые четко определены на последующих страницах. Вводимые расходы, продуктивность и предположения производительности основаны на данных, предоставленные специалистами и на использовании рекомендованной практики.</t>
  </si>
  <si>
    <t>Сенаж</t>
  </si>
  <si>
    <t>тг за осеменение</t>
  </si>
  <si>
    <t>голов(а/ы) осемененных</t>
  </si>
  <si>
    <t>Приплод телят</t>
  </si>
  <si>
    <t xml:space="preserve">    1.04   Сенаж</t>
  </si>
  <si>
    <t xml:space="preserve">    1.05   Силос</t>
  </si>
  <si>
    <t xml:space="preserve">    1.06   Концентраты</t>
  </si>
  <si>
    <t xml:space="preserve">    Дренажная система</t>
  </si>
  <si>
    <t xml:space="preserve">    Дороги внутри хозяйства</t>
  </si>
  <si>
    <t xml:space="preserve">    Контрольно-пропускной пункт</t>
  </si>
  <si>
    <t xml:space="preserve">    Въездной дезбарьер</t>
  </si>
  <si>
    <t xml:space="preserve">    Административно-подсобные здания с комнатами для персонала</t>
  </si>
  <si>
    <t xml:space="preserve">    Трехсторонние загоны</t>
  </si>
  <si>
    <t xml:space="preserve">    Площадка для погрузки/выгрузки и сортировки КРС</t>
  </si>
  <si>
    <t xml:space="preserve">    Ангар для с/х техники и вспомогат техники, с мастерской</t>
  </si>
  <si>
    <t xml:space="preserve">    Ангар для зерна и добавок</t>
  </si>
  <si>
    <t xml:space="preserve">    Площадка для хранения сена,   соломы, силоса, сенажа, приготовления кормов</t>
  </si>
  <si>
    <t xml:space="preserve">    Скважина+водонапорная башня+система водопровода</t>
  </si>
  <si>
    <t xml:space="preserve">    Водоснабжение, канализация, электричество (+ТП), дорога - к хозяйству</t>
  </si>
  <si>
    <t xml:space="preserve">    Стойла для быков-производителей (30 голов)</t>
  </si>
  <si>
    <t xml:space="preserve">    Помещение (вет.пункт) для взвешивания искуственного осеменения,  вакцинирования и др.работы с КРС</t>
  </si>
  <si>
    <t xml:space="preserve">    Самоходный смеситель-раздатчик-погрузчик</t>
  </si>
  <si>
    <t xml:space="preserve">    Прицеп для кормов</t>
  </si>
  <si>
    <t xml:space="preserve">    Очиститель для кормовых столиков</t>
  </si>
  <si>
    <t xml:space="preserve">    Погрузочная машина с задней разгрузкой</t>
  </si>
  <si>
    <t xml:space="preserve">    Телескопический погрузчик с навесным оборудованием</t>
  </si>
  <si>
    <t xml:space="preserve">    Скотовоз и Пикап</t>
  </si>
  <si>
    <t xml:space="preserve">    Скрейпер</t>
  </si>
  <si>
    <t xml:space="preserve">    Прессподборщик</t>
  </si>
  <si>
    <t xml:space="preserve">    Вездеход 4 ведущих</t>
  </si>
  <si>
    <t xml:space="preserve">    Трактор</t>
  </si>
  <si>
    <t xml:space="preserve">    100 КВ Набор генераторов</t>
  </si>
  <si>
    <t xml:space="preserve">    Загрузчик для трактора</t>
  </si>
  <si>
    <t>Кол-во тонн на телку в год</t>
  </si>
  <si>
    <t>Кол-во тонн на бычка в год</t>
  </si>
  <si>
    <t>Концентраты</t>
  </si>
  <si>
    <t>Итого сена</t>
  </si>
  <si>
    <t>1.04  Сенаж</t>
  </si>
  <si>
    <t>Итого сенажа</t>
  </si>
  <si>
    <t>Итого силаса</t>
  </si>
  <si>
    <t>Итого концентратов</t>
  </si>
  <si>
    <t>1.02  Сено</t>
  </si>
  <si>
    <t>для коров</t>
  </si>
  <si>
    <t>для телок</t>
  </si>
  <si>
    <t>для бычков</t>
  </si>
  <si>
    <t>(реальная ставка = номинальная ставка - уровень инфляции)</t>
  </si>
  <si>
    <t xml:space="preserve">  Здания и водопроводная система</t>
  </si>
  <si>
    <t xml:space="preserve">    Прочая техника (введите)</t>
  </si>
  <si>
    <t xml:space="preserve">    Прочие постройки (введите)</t>
  </si>
  <si>
    <t>Средняя стоимость за Корову (с учетом субсидий)</t>
  </si>
  <si>
    <t>тонн(а/ы) на телку в год</t>
  </si>
  <si>
    <t>тонн(а/ы) на бычка в год</t>
  </si>
  <si>
    <t>Итого соломы</t>
  </si>
  <si>
    <t>кг в день</t>
  </si>
  <si>
    <t xml:space="preserve">     Измельчитель и разбрасыватель соломы</t>
  </si>
  <si>
    <t>Пшеница</t>
  </si>
  <si>
    <t>Овес</t>
  </si>
  <si>
    <t>Кукуруза</t>
  </si>
  <si>
    <t>кг на голову в день</t>
  </si>
  <si>
    <t>кормление, дней в году</t>
  </si>
  <si>
    <t>Бобовое</t>
  </si>
  <si>
    <t>Злаково-бобовое</t>
  </si>
  <si>
    <t>Злаковое</t>
  </si>
  <si>
    <t>Естественных сенокосов</t>
  </si>
  <si>
    <t>Силос</t>
  </si>
  <si>
    <t>Зерновые</t>
  </si>
  <si>
    <t xml:space="preserve">    1.01   Зерновые</t>
  </si>
  <si>
    <t>Соли и Минералы</t>
  </si>
  <si>
    <t>укажите</t>
  </si>
  <si>
    <t>Соль поваренная</t>
  </si>
  <si>
    <t>Диаммонийфосфат</t>
  </si>
  <si>
    <t>Кукурузный</t>
  </si>
  <si>
    <t>Подсолнечник</t>
  </si>
  <si>
    <t>Ботва корнеплодов</t>
  </si>
  <si>
    <t>Кормовая капуста</t>
  </si>
  <si>
    <t>Жом</t>
  </si>
  <si>
    <t>Шрот</t>
  </si>
  <si>
    <t xml:space="preserve">  годовой фонд</t>
  </si>
  <si>
    <t>(Годовой фонд оплаты труда)</t>
  </si>
  <si>
    <t>лет, срок займа</t>
  </si>
  <si>
    <t>тг, общая переплата по займу</t>
  </si>
  <si>
    <t>Для Коров</t>
  </si>
  <si>
    <t>Итого зерновых</t>
  </si>
  <si>
    <t>итого</t>
  </si>
  <si>
    <t>Итого солей и минералов</t>
  </si>
  <si>
    <t>Итого силоса</t>
  </si>
  <si>
    <t>Для Быков</t>
  </si>
  <si>
    <t>Для Бычков</t>
  </si>
  <si>
    <t>Для Телок</t>
  </si>
  <si>
    <t>1.01  Зерновые</t>
  </si>
  <si>
    <t>тг на корову</t>
  </si>
  <si>
    <t>1.05  Силос</t>
  </si>
  <si>
    <t>1.06  Концентраты</t>
  </si>
  <si>
    <t>тг на быка</t>
  </si>
  <si>
    <t xml:space="preserve">  Общая переплата по займу</t>
  </si>
  <si>
    <t>Средняя рыночная стоим-ть годовалых бычков/телок</t>
  </si>
  <si>
    <t>Стоимость пастьбы</t>
  </si>
  <si>
    <t>Эмфизематозный карбункул (вакцина)</t>
  </si>
  <si>
    <t>Бирки</t>
  </si>
  <si>
    <t>Инфекционный ринотрахеит</t>
  </si>
  <si>
    <t xml:space="preserve">            Тариф</t>
  </si>
  <si>
    <t>Scourguard</t>
  </si>
  <si>
    <t>Витамины А и D</t>
  </si>
  <si>
    <t>Внутренний и внешний контроль паразитов, антибиотики и т.д.</t>
  </si>
  <si>
    <t>Первоначальная стом-ть (за минусом субсидий)</t>
  </si>
  <si>
    <t>Калькулятор по расчету</t>
  </si>
  <si>
    <t>Себестоимости производства в племенном хозяйстве</t>
  </si>
  <si>
    <t>Данный калькулятор предназначен для планирования производственных расходов и расчета себестоимости производства в племенном хозяйстве.</t>
  </si>
  <si>
    <t>Январь, 2014</t>
  </si>
  <si>
    <t>Уважаемые животноводы!</t>
  </si>
  <si>
    <t>В данной вкладке вкратце описаны разъяснения по пользованию калькулятором.</t>
  </si>
  <si>
    <t xml:space="preserve">Внизу страницы находятся пять вкладок - "Инструкция", "Введение", "Ввод данных", "Детали" и "СВОДКА". </t>
  </si>
  <si>
    <t>Для дальнейшей инстуркции опустите страницу ниже</t>
  </si>
  <si>
    <r>
      <t xml:space="preserve">Первое, на что надо обратить внимание - это дата, с которой вы начинаете учет расходов по группе производственных маток. Во вкладке </t>
    </r>
    <r>
      <rPr>
        <b/>
        <sz val="14"/>
        <color theme="1"/>
        <rFont val="Arial"/>
        <family val="2"/>
        <charset val="204"/>
      </rPr>
      <t>"Введение"</t>
    </r>
    <r>
      <rPr>
        <sz val="14"/>
        <color theme="1"/>
        <rFont val="Arial"/>
        <family val="2"/>
        <charset val="204"/>
      </rPr>
      <t xml:space="preserve">, справа от логотипа Республиканской палаты Ангус Казахстана, есть рамка с датой по умолчанию, которая выделена </t>
    </r>
    <r>
      <rPr>
        <sz val="14"/>
        <color rgb="FF011185"/>
        <rFont val="Arial"/>
        <family val="2"/>
        <charset val="204"/>
      </rPr>
      <t>синим шрифтом</t>
    </r>
    <r>
      <rPr>
        <sz val="14"/>
        <color theme="1"/>
        <rFont val="Arial"/>
        <family val="2"/>
        <charset val="204"/>
      </rPr>
      <t>. Наведите курсором на эту ячейку и введите свою дату.</t>
    </r>
  </si>
  <si>
    <r>
      <t xml:space="preserve">Далее переходим во вкладку </t>
    </r>
    <r>
      <rPr>
        <b/>
        <sz val="14"/>
        <color theme="1"/>
        <rFont val="Arial"/>
        <family val="2"/>
        <charset val="204"/>
      </rPr>
      <t>"Ввод данных"</t>
    </r>
    <r>
      <rPr>
        <sz val="14"/>
        <color theme="1"/>
        <rFont val="Arial"/>
        <family val="2"/>
        <charset val="204"/>
      </rPr>
      <t xml:space="preserve">. Это основная вкладка, где вы будете вводить данные, относящиеся к вашему стаду. Вводить данные нужно только в ячейки с выделенными рамками и синим шрифтом. </t>
    </r>
  </si>
  <si>
    <r>
      <t xml:space="preserve">Во вкладке </t>
    </r>
    <r>
      <rPr>
        <b/>
        <sz val="14"/>
        <color theme="1"/>
        <rFont val="Arial"/>
        <family val="2"/>
        <charset val="204"/>
      </rPr>
      <t>"Детали"</t>
    </r>
    <r>
      <rPr>
        <sz val="14"/>
        <color theme="1"/>
        <rFont val="Arial"/>
        <family val="2"/>
        <charset val="204"/>
      </rPr>
      <t xml:space="preserve"> указана расшифровка и метода калькуляции себестоимости. Там ничего вводить и менять не нужно. Это лишь для вашего сведения.</t>
    </r>
  </si>
  <si>
    <r>
      <t xml:space="preserve">И самая последняя вкладка </t>
    </r>
    <r>
      <rPr>
        <b/>
        <sz val="14"/>
        <color theme="1"/>
        <rFont val="Arial"/>
        <family val="2"/>
        <charset val="204"/>
      </rPr>
      <t>"СВОДКА"</t>
    </r>
    <r>
      <rPr>
        <sz val="14"/>
        <color theme="1"/>
        <rFont val="Arial"/>
        <family val="2"/>
        <charset val="204"/>
      </rPr>
      <t>, в которой отражается результат всего расчета. Себестоимость рассчитывается на каждую голову коровы и на общее производственное маточное поголовье в двух отдельных колонках. В нижней части сводки в ячейке с рамкой отражается общая себестоимость производства на каждую голову коровы. В самой нижней части сводки в разделе "Анализа безубыточности" в ячейке с рамкой и зеленым фоном отражается себестоимость производства (безубыточная цена) за 1 килограмм живого веса теленка, от которой надо отталкиваться при расчете рыночной стоимости теленка для реализации.</t>
    </r>
  </si>
  <si>
    <t>Для более подробной информации звоните в офис Республиканской палаты Ангус Казахстана по тел.: +7 (7172) 31-20-67</t>
  </si>
  <si>
    <t>Болат Дамир</t>
  </si>
  <si>
    <t xml:space="preserve">Разработчик: </t>
  </si>
  <si>
    <t>Заместитель директора Республиканской палаты Ангус Казахстана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</si>
</sst>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.00_);\(&quot;$&quot;#,##0.00\)"/>
    <numFmt numFmtId="165" formatCode="&quot;$&quot;#,##0_);\(&quot;$&quot;#,##0\)"/>
    <numFmt numFmtId="166" formatCode="&quot;$&quot;#,##0.00"/>
    <numFmt numFmtId="167" formatCode="&quot;$&quot;#,##0"/>
    <numFmt numFmtId="168" formatCode="&quot;$&quot;#,##0.00_);[Red]\(&quot;$&quot;#,##0.00\)"/>
    <numFmt numFmtId="169" formatCode="&quot;$&quot;#,##0_);[Red]\(&quot;$&quot;#,##0\)"/>
    <numFmt numFmtId="170" formatCode="0.0%"/>
    <numFmt numFmtId="171" formatCode="#,##0.0_);[Red]\(#,##0.0\)"/>
    <numFmt numFmtId="172" formatCode="#,##0.000"/>
    <numFmt numFmtId="173" formatCode="#,##0.00000"/>
    <numFmt numFmtId="174" formatCode="_-* #,##0\ _$_-;\-* #,##0\ _$_-;_-* &quot;-&quot;??\ _$_-;_-@_-"/>
    <numFmt numFmtId="175" formatCode="#,##0.0"/>
    <numFmt numFmtId="176" formatCode="#,##0.0000"/>
    <numFmt numFmtId="177" formatCode="#,##0.000000"/>
    <numFmt numFmtId="178" formatCode="#,##0.0\ _$;[Red]\-#,##0.0\ _$"/>
    <numFmt numFmtId="179" formatCode="_-* #,##0.0\ _$_-;\-* #,##0.0\ _$_-;_-* &quot;-&quot;??\ _$_-;_-@_-"/>
    <numFmt numFmtId="180" formatCode="#,##0_);[Red]\(#,##0\)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1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sz val="18"/>
      <color indexed="18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 val="singleAccounting"/>
      <sz val="12"/>
      <color indexed="12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6"/>
      <name val="Arial"/>
      <family val="2"/>
      <charset val="204"/>
    </font>
    <font>
      <u val="singleAccounting"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11185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40" fontId="8" fillId="0" borderId="0"/>
    <xf numFmtId="38" fontId="8" fillId="0" borderId="0"/>
    <xf numFmtId="168" fontId="8" fillId="0" borderId="0"/>
    <xf numFmtId="169" fontId="8" fillId="0" borderId="0"/>
    <xf numFmtId="166" fontId="8" fillId="0" borderId="0">
      <alignment vertical="top"/>
    </xf>
    <xf numFmtId="38" fontId="15" fillId="0" borderId="0">
      <protection locked="0"/>
    </xf>
    <xf numFmtId="40" fontId="15" fillId="0" borderId="0">
      <protection locked="0"/>
    </xf>
    <xf numFmtId="168" fontId="15" fillId="0" borderId="0">
      <protection locked="0"/>
    </xf>
    <xf numFmtId="171" fontId="15" fillId="0" borderId="0">
      <protection locked="0"/>
    </xf>
    <xf numFmtId="169" fontId="15" fillId="0" borderId="0">
      <protection locked="0"/>
    </xf>
    <xf numFmtId="171" fontId="8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3" fontId="3" fillId="0" borderId="0" xfId="0" applyNumberFormat="1" applyFont="1" applyAlignment="1"/>
    <xf numFmtId="3" fontId="6" fillId="0" borderId="0" xfId="0" applyNumberFormat="1" applyFont="1" applyAlignment="1" applyProtection="1">
      <alignment horizontal="center"/>
    </xf>
    <xf numFmtId="3" fontId="7" fillId="0" borderId="0" xfId="0" applyNumberFormat="1" applyFont="1" applyAlignment="1" applyProtection="1"/>
    <xf numFmtId="3" fontId="8" fillId="0" borderId="0" xfId="0" applyNumberFormat="1" applyFont="1" applyAlignment="1" applyProtection="1"/>
    <xf numFmtId="164" fontId="9" fillId="0" borderId="0" xfId="0" applyNumberFormat="1" applyFont="1" applyBorder="1" applyAlignment="1" applyProtection="1">
      <alignment horizontal="right"/>
    </xf>
    <xf numFmtId="3" fontId="10" fillId="0" borderId="0" xfId="0" applyNumberFormat="1" applyFont="1" applyAlignment="1" applyProtection="1"/>
    <xf numFmtId="165" fontId="9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/>
    <xf numFmtId="165" fontId="8" fillId="0" borderId="0" xfId="0" applyNumberFormat="1" applyFont="1" applyAlignment="1" applyProtection="1"/>
    <xf numFmtId="166" fontId="8" fillId="0" borderId="0" xfId="2" applyNumberFormat="1"/>
    <xf numFmtId="167" fontId="8" fillId="0" borderId="0" xfId="0" applyNumberFormat="1" applyFont="1" applyAlignment="1" applyProtection="1"/>
    <xf numFmtId="0" fontId="10" fillId="0" borderId="0" xfId="0" applyFont="1" applyAlignment="1" applyProtection="1"/>
    <xf numFmtId="167" fontId="10" fillId="0" borderId="0" xfId="0" applyNumberFormat="1" applyFont="1" applyAlignment="1" applyProtection="1"/>
    <xf numFmtId="0" fontId="7" fillId="0" borderId="0" xfId="0" applyFont="1" applyAlignment="1" applyProtection="1"/>
    <xf numFmtId="167" fontId="7" fillId="0" borderId="0" xfId="0" applyNumberFormat="1" applyFont="1" applyAlignment="1" applyProtection="1"/>
    <xf numFmtId="166" fontId="7" fillId="0" borderId="0" xfId="0" applyNumberFormat="1" applyFont="1" applyAlignment="1" applyProtection="1"/>
    <xf numFmtId="3" fontId="8" fillId="0" borderId="0" xfId="0" applyNumberFormat="1" applyFont="1" applyBorder="1" applyAlignment="1" applyProtection="1"/>
    <xf numFmtId="0" fontId="10" fillId="0" borderId="0" xfId="0" applyFont="1" applyBorder="1" applyAlignment="1" applyProtection="1"/>
    <xf numFmtId="3" fontId="10" fillId="0" borderId="0" xfId="0" applyNumberFormat="1" applyFont="1" applyBorder="1" applyAlignment="1" applyProtection="1"/>
    <xf numFmtId="165" fontId="7" fillId="0" borderId="0" xfId="0" applyNumberFormat="1" applyFont="1" applyAlignment="1" applyProtection="1"/>
    <xf numFmtId="166" fontId="8" fillId="0" borderId="0" xfId="0" applyNumberFormat="1" applyFont="1" applyAlignment="1" applyProtection="1"/>
    <xf numFmtId="167" fontId="8" fillId="0" borderId="0" xfId="5" applyNumberFormat="1"/>
    <xf numFmtId="0" fontId="9" fillId="0" borderId="0" xfId="0" applyFont="1" applyBorder="1" applyAlignment="1" applyProtection="1"/>
    <xf numFmtId="3" fontId="8" fillId="0" borderId="1" xfId="0" applyNumberFormat="1" applyFont="1" applyBorder="1" applyAlignment="1" applyProtection="1"/>
    <xf numFmtId="169" fontId="7" fillId="0" borderId="1" xfId="5" applyFont="1" applyBorder="1"/>
    <xf numFmtId="3" fontId="0" fillId="0" borderId="0" xfId="0" applyNumberFormat="1" applyAlignment="1"/>
    <xf numFmtId="3" fontId="7" fillId="0" borderId="0" xfId="0" applyNumberFormat="1" applyFont="1" applyAlignment="1" applyProtection="1">
      <alignment horizontal="center"/>
    </xf>
    <xf numFmtId="3" fontId="9" fillId="0" borderId="0" xfId="0" applyNumberFormat="1" applyFont="1" applyAlignment="1">
      <alignment horizontal="center"/>
    </xf>
    <xf numFmtId="166" fontId="8" fillId="0" borderId="0" xfId="4" applyNumberFormat="1" applyAlignment="1">
      <alignment horizontal="right"/>
    </xf>
    <xf numFmtId="44" fontId="1" fillId="0" borderId="1" xfId="1" applyBorder="1" applyAlignment="1">
      <alignment horizontal="center" vertical="justify"/>
    </xf>
    <xf numFmtId="165" fontId="8" fillId="0" borderId="1" xfId="0" applyNumberFormat="1" applyFont="1" applyBorder="1" applyAlignment="1" applyProtection="1"/>
    <xf numFmtId="3" fontId="11" fillId="0" borderId="0" xfId="0" applyNumberFormat="1" applyFont="1" applyAlignment="1" applyProtection="1"/>
    <xf numFmtId="3" fontId="3" fillId="0" borderId="0" xfId="0" applyNumberFormat="1" applyFont="1" applyAlignment="1" applyProtection="1"/>
    <xf numFmtId="166" fontId="8" fillId="0" borderId="0" xfId="6" applyFont="1">
      <alignment vertical="top"/>
    </xf>
    <xf numFmtId="166" fontId="5" fillId="0" borderId="0" xfId="6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0" fillId="0" borderId="0" xfId="0" applyNumberFormat="1" applyAlignment="1" applyProtection="1"/>
    <xf numFmtId="164" fontId="9" fillId="0" borderId="0" xfId="0" applyNumberFormat="1" applyFont="1" applyAlignment="1" applyProtection="1">
      <alignment horizontal="right"/>
    </xf>
    <xf numFmtId="3" fontId="15" fillId="0" borderId="0" xfId="0" applyNumberFormat="1" applyFont="1" applyAlignment="1" applyProtection="1"/>
    <xf numFmtId="170" fontId="15" fillId="0" borderId="0" xfId="0" applyNumberFormat="1" applyFont="1" applyAlignment="1" applyProtection="1"/>
    <xf numFmtId="164" fontId="15" fillId="0" borderId="0" xfId="0" applyNumberFormat="1" applyFont="1" applyAlignment="1" applyProtection="1"/>
    <xf numFmtId="164" fontId="0" fillId="0" borderId="0" xfId="0" applyNumberFormat="1" applyAlignment="1" applyProtection="1"/>
    <xf numFmtId="0" fontId="9" fillId="0" borderId="0" xfId="0" applyFont="1" applyAlignment="1" applyProtection="1">
      <alignment horizontal="right"/>
    </xf>
    <xf numFmtId="164" fontId="8" fillId="0" borderId="0" xfId="0" applyNumberFormat="1" applyFont="1" applyAlignment="1" applyProtection="1">
      <alignment horizontal="left"/>
    </xf>
    <xf numFmtId="4" fontId="15" fillId="0" borderId="0" xfId="0" applyNumberFormat="1" applyFont="1" applyAlignment="1" applyProtection="1"/>
    <xf numFmtId="166" fontId="15" fillId="0" borderId="0" xfId="0" applyNumberFormat="1" applyFont="1" applyAlignment="1" applyProtection="1"/>
    <xf numFmtId="166" fontId="0" fillId="0" borderId="0" xfId="0" applyNumberFormat="1" applyAlignment="1" applyProtection="1"/>
    <xf numFmtId="168" fontId="15" fillId="0" borderId="0" xfId="9" applyProtection="1"/>
    <xf numFmtId="3" fontId="16" fillId="0" borderId="0" xfId="0" applyNumberFormat="1" applyFont="1" applyAlignment="1"/>
    <xf numFmtId="38" fontId="8" fillId="0" borderId="0" xfId="3"/>
    <xf numFmtId="4" fontId="0" fillId="0" borderId="0" xfId="0" applyNumberFormat="1" applyAlignment="1"/>
    <xf numFmtId="3" fontId="7" fillId="0" borderId="0" xfId="0" applyNumberFormat="1" applyFont="1" applyAlignment="1" applyProtection="1">
      <alignment horizontal="right"/>
    </xf>
    <xf numFmtId="167" fontId="0" fillId="0" borderId="0" xfId="0" applyNumberFormat="1" applyAlignment="1" applyProtection="1"/>
    <xf numFmtId="3" fontId="0" fillId="0" borderId="0" xfId="0" applyNumberFormat="1" applyAlignment="1" applyProtection="1">
      <alignment horizontal="left"/>
    </xf>
    <xf numFmtId="3" fontId="17" fillId="0" borderId="0" xfId="0" applyNumberFormat="1" applyFont="1" applyAlignment="1" applyProtection="1">
      <alignment horizontal="center"/>
    </xf>
    <xf numFmtId="3" fontId="8" fillId="0" borderId="0" xfId="0" quotePrefix="1" applyNumberFormat="1" applyFont="1" applyAlignment="1" applyProtection="1"/>
    <xf numFmtId="0" fontId="5" fillId="0" borderId="0" xfId="0" applyFont="1" applyAlignment="1" applyProtection="1"/>
    <xf numFmtId="4" fontId="8" fillId="0" borderId="0" xfId="0" applyNumberFormat="1" applyFont="1" applyAlignment="1" applyProtection="1"/>
    <xf numFmtId="168" fontId="8" fillId="0" borderId="0" xfId="4"/>
    <xf numFmtId="0" fontId="8" fillId="0" borderId="0" xfId="0" applyFont="1" applyAlignment="1" applyProtection="1"/>
    <xf numFmtId="3" fontId="8" fillId="0" borderId="0" xfId="0" applyNumberFormat="1" applyFont="1" applyAlignment="1"/>
    <xf numFmtId="3" fontId="8" fillId="0" borderId="0" xfId="4" applyNumberFormat="1"/>
    <xf numFmtId="166" fontId="3" fillId="0" borderId="0" xfId="0" applyNumberFormat="1" applyFont="1" applyAlignment="1"/>
    <xf numFmtId="3" fontId="18" fillId="0" borderId="0" xfId="0" applyNumberFormat="1" applyFont="1" applyAlignment="1" applyProtection="1"/>
    <xf numFmtId="3" fontId="7" fillId="0" borderId="0" xfId="0" quotePrefix="1" applyNumberFormat="1" applyFont="1" applyAlignment="1" applyProtection="1">
      <alignment horizontal="right"/>
    </xf>
    <xf numFmtId="165" fontId="0" fillId="0" borderId="0" xfId="0" applyNumberFormat="1" applyAlignment="1"/>
    <xf numFmtId="165" fontId="8" fillId="0" borderId="0" xfId="0" applyNumberFormat="1" applyFont="1" applyAlignment="1"/>
    <xf numFmtId="166" fontId="5" fillId="0" borderId="0" xfId="6" applyFont="1" applyAlignment="1">
      <alignment vertical="top" wrapText="1"/>
    </xf>
    <xf numFmtId="165" fontId="9" fillId="0" borderId="0" xfId="0" applyNumberFormat="1" applyFont="1" applyBorder="1" applyAlignment="1" applyProtection="1">
      <alignment horizontal="left" wrapText="1"/>
    </xf>
    <xf numFmtId="3" fontId="2" fillId="0" borderId="0" xfId="0" applyNumberFormat="1" applyFont="1" applyAlignment="1"/>
    <xf numFmtId="164" fontId="9" fillId="0" borderId="0" xfId="0" applyNumberFormat="1" applyFont="1" applyAlignment="1" applyProtection="1">
      <alignment horizontal="left"/>
    </xf>
    <xf numFmtId="3" fontId="9" fillId="0" borderId="0" xfId="0" applyNumberFormat="1" applyFont="1" applyAlignment="1" applyProtection="1">
      <alignment horizontal="center" wrapText="1"/>
    </xf>
    <xf numFmtId="3" fontId="7" fillId="0" borderId="0" xfId="0" applyNumberFormat="1" applyFont="1" applyAlignment="1" applyProtection="1"/>
    <xf numFmtId="3" fontId="0" fillId="0" borderId="0" xfId="0" applyNumberFormat="1" applyAlignment="1"/>
    <xf numFmtId="3" fontId="0" fillId="0" borderId="0" xfId="0" applyNumberFormat="1" applyAlignment="1">
      <alignment wrapText="1"/>
    </xf>
    <xf numFmtId="3" fontId="7" fillId="0" borderId="0" xfId="0" applyNumberFormat="1" applyFont="1" applyAlignment="1" applyProtection="1">
      <alignment horizontal="center"/>
    </xf>
    <xf numFmtId="3" fontId="7" fillId="0" borderId="0" xfId="0" applyNumberFormat="1" applyFont="1" applyAlignment="1" applyProtection="1"/>
    <xf numFmtId="3" fontId="0" fillId="0" borderId="0" xfId="0" applyNumberFormat="1" applyAlignment="1"/>
    <xf numFmtId="3" fontId="8" fillId="0" borderId="0" xfId="0" applyNumberFormat="1" applyFont="1" applyAlignment="1" applyProtection="1">
      <alignment wrapText="1"/>
    </xf>
    <xf numFmtId="0" fontId="15" fillId="0" borderId="0" xfId="0" applyNumberFormat="1" applyFont="1" applyAlignment="1" applyProtection="1"/>
    <xf numFmtId="3" fontId="0" fillId="3" borderId="0" xfId="0" applyNumberFormat="1" applyFill="1" applyAlignment="1" applyProtection="1"/>
    <xf numFmtId="3" fontId="22" fillId="0" borderId="0" xfId="0" applyNumberFormat="1" applyFont="1" applyAlignment="1" applyProtection="1"/>
    <xf numFmtId="172" fontId="0" fillId="0" borderId="0" xfId="0" applyNumberFormat="1" applyAlignment="1" applyProtection="1"/>
    <xf numFmtId="3" fontId="10" fillId="0" borderId="0" xfId="4" applyNumberFormat="1" applyFont="1"/>
    <xf numFmtId="3" fontId="7" fillId="0" borderId="0" xfId="4" applyNumberFormat="1" applyFont="1"/>
    <xf numFmtId="3" fontId="8" fillId="0" borderId="0" xfId="12" applyNumberFormat="1"/>
    <xf numFmtId="4" fontId="3" fillId="0" borderId="0" xfId="0" applyNumberFormat="1" applyFont="1" applyAlignment="1"/>
    <xf numFmtId="3" fontId="8" fillId="3" borderId="0" xfId="0" applyNumberFormat="1" applyFont="1" applyFill="1" applyAlignment="1" applyProtection="1"/>
    <xf numFmtId="3" fontId="0" fillId="3" borderId="0" xfId="0" applyNumberFormat="1" applyFill="1" applyAlignment="1"/>
    <xf numFmtId="0" fontId="10" fillId="3" borderId="0" xfId="0" applyFont="1" applyFill="1" applyAlignment="1" applyProtection="1"/>
    <xf numFmtId="3" fontId="23" fillId="0" borderId="0" xfId="0" applyNumberFormat="1" applyFont="1" applyAlignment="1" applyProtection="1"/>
    <xf numFmtId="4" fontId="14" fillId="0" borderId="0" xfId="0" applyNumberFormat="1" applyFont="1" applyAlignment="1"/>
    <xf numFmtId="173" fontId="3" fillId="0" borderId="0" xfId="0" applyNumberFormat="1" applyFont="1" applyAlignment="1"/>
    <xf numFmtId="41" fontId="15" fillId="0" borderId="0" xfId="1" applyNumberFormat="1" applyFont="1" applyProtection="1">
      <protection locked="0"/>
    </xf>
    <xf numFmtId="41" fontId="7" fillId="0" borderId="0" xfId="5" applyNumberFormat="1" applyFont="1"/>
    <xf numFmtId="3" fontId="10" fillId="3" borderId="0" xfId="0" applyNumberFormat="1" applyFont="1" applyFill="1" applyAlignment="1" applyProtection="1"/>
    <xf numFmtId="3" fontId="7" fillId="3" borderId="0" xfId="0" applyNumberFormat="1" applyFont="1" applyFill="1" applyAlignment="1" applyProtection="1"/>
    <xf numFmtId="41" fontId="7" fillId="0" borderId="0" xfId="1" applyNumberFormat="1" applyFont="1"/>
    <xf numFmtId="3" fontId="0" fillId="0" borderId="0" xfId="0" applyNumberFormat="1" applyAlignment="1"/>
    <xf numFmtId="174" fontId="7" fillId="0" borderId="0" xfId="13" applyNumberFormat="1" applyFont="1"/>
    <xf numFmtId="179" fontId="8" fillId="0" borderId="0" xfId="13" applyNumberFormat="1" applyFont="1"/>
    <xf numFmtId="174" fontId="8" fillId="0" borderId="0" xfId="13" applyNumberFormat="1" applyFont="1"/>
    <xf numFmtId="174" fontId="10" fillId="0" borderId="0" xfId="13" applyNumberFormat="1" applyFont="1" applyBorder="1"/>
    <xf numFmtId="174" fontId="7" fillId="0" borderId="0" xfId="13" applyNumberFormat="1" applyFont="1" applyAlignment="1" applyProtection="1"/>
    <xf numFmtId="174" fontId="8" fillId="0" borderId="0" xfId="13" applyNumberFormat="1" applyFont="1" applyAlignment="1" applyProtection="1"/>
    <xf numFmtId="174" fontId="10" fillId="0" borderId="0" xfId="13" applyNumberFormat="1" applyFont="1"/>
    <xf numFmtId="174" fontId="8" fillId="0" borderId="0" xfId="13" applyNumberFormat="1" applyFont="1" applyAlignment="1">
      <alignment horizontal="right"/>
    </xf>
    <xf numFmtId="175" fontId="3" fillId="0" borderId="0" xfId="0" applyNumberFormat="1" applyFont="1" applyAlignment="1"/>
    <xf numFmtId="174" fontId="25" fillId="0" borderId="0" xfId="13" applyNumberFormat="1" applyFont="1"/>
    <xf numFmtId="174" fontId="7" fillId="0" borderId="0" xfId="13" applyNumberFormat="1" applyFont="1" applyBorder="1" applyAlignment="1" applyProtection="1"/>
    <xf numFmtId="174" fontId="22" fillId="0" borderId="0" xfId="13" applyNumberFormat="1" applyFont="1"/>
    <xf numFmtId="165" fontId="9" fillId="0" borderId="0" xfId="0" applyNumberFormat="1" applyFont="1" applyBorder="1" applyAlignment="1" applyProtection="1">
      <alignment horizontal="center"/>
    </xf>
    <xf numFmtId="1" fontId="21" fillId="0" borderId="0" xfId="1" applyNumberFormat="1" applyFont="1" applyAlignment="1">
      <alignment horizontal="center" vertical="justify"/>
    </xf>
    <xf numFmtId="172" fontId="3" fillId="0" borderId="0" xfId="0" applyNumberFormat="1" applyFont="1" applyAlignment="1"/>
    <xf numFmtId="176" fontId="3" fillId="0" borderId="0" xfId="0" applyNumberFormat="1" applyFont="1" applyAlignment="1"/>
    <xf numFmtId="38" fontId="15" fillId="0" borderId="3" xfId="7" applyBorder="1">
      <protection locked="0"/>
    </xf>
    <xf numFmtId="40" fontId="15" fillId="0" borderId="4" xfId="8" applyBorder="1">
      <protection locked="0"/>
    </xf>
    <xf numFmtId="40" fontId="15" fillId="0" borderId="3" xfId="8" applyBorder="1">
      <protection locked="0"/>
    </xf>
    <xf numFmtId="3" fontId="15" fillId="0" borderId="3" xfId="9" applyNumberFormat="1" applyBorder="1">
      <protection locked="0"/>
    </xf>
    <xf numFmtId="178" fontId="15" fillId="0" borderId="3" xfId="8" applyNumberFormat="1" applyBorder="1">
      <protection locked="0"/>
    </xf>
    <xf numFmtId="174" fontId="15" fillId="0" borderId="3" xfId="13" applyNumberFormat="1" applyFont="1" applyBorder="1" applyProtection="1">
      <protection locked="0"/>
    </xf>
    <xf numFmtId="179" fontId="15" fillId="0" borderId="3" xfId="13" applyNumberFormat="1" applyFont="1" applyBorder="1" applyProtection="1">
      <protection locked="0"/>
    </xf>
    <xf numFmtId="41" fontId="15" fillId="0" borderId="3" xfId="1" applyNumberFormat="1" applyFont="1" applyBorder="1" applyProtection="1">
      <protection locked="0"/>
    </xf>
    <xf numFmtId="41" fontId="24" fillId="0" borderId="3" xfId="1" applyNumberFormat="1" applyFont="1" applyBorder="1" applyProtection="1">
      <protection locked="0"/>
    </xf>
    <xf numFmtId="174" fontId="1" fillId="3" borderId="0" xfId="13" applyNumberFormat="1" applyFill="1" applyAlignment="1">
      <alignment horizontal="right" vertical="justify"/>
    </xf>
    <xf numFmtId="174" fontId="10" fillId="3" borderId="0" xfId="13" applyNumberFormat="1" applyFont="1" applyFill="1" applyAlignment="1" applyProtection="1"/>
    <xf numFmtId="174" fontId="8" fillId="0" borderId="0" xfId="13" applyNumberFormat="1" applyFont="1" applyAlignment="1"/>
    <xf numFmtId="38" fontId="15" fillId="0" borderId="3" xfId="9" applyNumberFormat="1" applyBorder="1">
      <protection locked="0"/>
    </xf>
    <xf numFmtId="3" fontId="22" fillId="0" borderId="0" xfId="0" applyNumberFormat="1" applyFont="1" applyAlignment="1"/>
    <xf numFmtId="174" fontId="26" fillId="0" borderId="0" xfId="13" applyNumberFormat="1" applyFont="1"/>
    <xf numFmtId="174" fontId="9" fillId="0" borderId="0" xfId="13" applyNumberFormat="1" applyFont="1" applyBorder="1"/>
    <xf numFmtId="174" fontId="9" fillId="0" borderId="0" xfId="5" applyNumberFormat="1" applyFont="1" applyBorder="1"/>
    <xf numFmtId="174" fontId="7" fillId="0" borderId="0" xfId="5" applyNumberFormat="1" applyFont="1"/>
    <xf numFmtId="3" fontId="8" fillId="4" borderId="0" xfId="0" applyNumberFormat="1" applyFont="1" applyFill="1" applyBorder="1" applyAlignment="1" applyProtection="1"/>
    <xf numFmtId="174" fontId="27" fillId="4" borderId="3" xfId="13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 applyProtection="1"/>
    <xf numFmtId="0" fontId="8" fillId="3" borderId="2" xfId="0" applyFont="1" applyFill="1" applyBorder="1" applyAlignment="1" applyProtection="1"/>
    <xf numFmtId="179" fontId="8" fillId="3" borderId="0" xfId="13" applyNumberFormat="1" applyFont="1" applyFill="1"/>
    <xf numFmtId="179" fontId="26" fillId="3" borderId="0" xfId="13" applyNumberFormat="1" applyFont="1" applyFill="1"/>
    <xf numFmtId="0" fontId="23" fillId="0" borderId="0" xfId="0" applyFont="1" applyAlignment="1" applyProtection="1"/>
    <xf numFmtId="0" fontId="22" fillId="0" borderId="0" xfId="0" applyFont="1" applyAlignment="1" applyProtection="1"/>
    <xf numFmtId="3" fontId="22" fillId="0" borderId="0" xfId="4" applyNumberFormat="1" applyFont="1"/>
    <xf numFmtId="4" fontId="0" fillId="3" borderId="0" xfId="0" applyNumberFormat="1" applyFill="1" applyAlignment="1" applyProtection="1">
      <alignment horizontal="right"/>
    </xf>
    <xf numFmtId="3" fontId="21" fillId="3" borderId="0" xfId="0" applyNumberFormat="1" applyFont="1" applyFill="1" applyAlignment="1" applyProtection="1"/>
    <xf numFmtId="174" fontId="15" fillId="3" borderId="0" xfId="13" applyNumberFormat="1" applyFont="1" applyFill="1" applyBorder="1" applyProtection="1">
      <protection locked="0"/>
    </xf>
    <xf numFmtId="174" fontId="8" fillId="3" borderId="0" xfId="13" applyNumberFormat="1" applyFont="1" applyFill="1"/>
    <xf numFmtId="174" fontId="10" fillId="3" borderId="0" xfId="13" applyNumberFormat="1" applyFont="1" applyFill="1"/>
    <xf numFmtId="174" fontId="8" fillId="0" borderId="0" xfId="13" applyNumberFormat="1" applyFont="1" applyBorder="1"/>
    <xf numFmtId="174" fontId="26" fillId="0" borderId="0" xfId="13" applyNumberFormat="1" applyFont="1" applyBorder="1"/>
    <xf numFmtId="3" fontId="3" fillId="3" borderId="0" xfId="0" applyNumberFormat="1" applyFont="1" applyFill="1" applyAlignment="1"/>
    <xf numFmtId="3" fontId="7" fillId="3" borderId="0" xfId="0" applyNumberFormat="1" applyFont="1" applyFill="1" applyBorder="1" applyAlignment="1" applyProtection="1"/>
    <xf numFmtId="3" fontId="8" fillId="3" borderId="0" xfId="0" applyNumberFormat="1" applyFont="1" applyFill="1" applyBorder="1" applyAlignment="1" applyProtection="1"/>
    <xf numFmtId="2" fontId="15" fillId="0" borderId="0" xfId="0" applyNumberFormat="1" applyFont="1" applyAlignment="1" applyProtection="1"/>
    <xf numFmtId="3" fontId="3" fillId="4" borderId="0" xfId="0" applyNumberFormat="1" applyFont="1" applyFill="1" applyAlignment="1"/>
    <xf numFmtId="169" fontId="7" fillId="4" borderId="0" xfId="5" applyFont="1" applyFill="1" applyBorder="1"/>
    <xf numFmtId="174" fontId="5" fillId="0" borderId="3" xfId="13" applyNumberFormat="1" applyFont="1" applyBorder="1" applyAlignment="1">
      <alignment horizontal="right" vertical="center"/>
    </xf>
    <xf numFmtId="174" fontId="7" fillId="3" borderId="0" xfId="13" applyNumberFormat="1" applyFont="1" applyFill="1"/>
    <xf numFmtId="179" fontId="10" fillId="3" borderId="0" xfId="13" applyNumberFormat="1" applyFont="1" applyFill="1"/>
    <xf numFmtId="3" fontId="7" fillId="3" borderId="0" xfId="0" applyNumberFormat="1" applyFont="1" applyFill="1" applyAlignment="1" applyProtection="1"/>
    <xf numFmtId="3" fontId="0" fillId="0" borderId="0" xfId="0" applyNumberFormat="1" applyAlignment="1"/>
    <xf numFmtId="3" fontId="21" fillId="0" borderId="0" xfId="0" applyNumberFormat="1" applyFont="1" applyAlignment="1" applyProtection="1"/>
    <xf numFmtId="3" fontId="20" fillId="0" borderId="0" xfId="0" applyNumberFormat="1" applyFont="1" applyAlignment="1" applyProtection="1"/>
    <xf numFmtId="3" fontId="3" fillId="3" borderId="0" xfId="0" applyNumberFormat="1" applyFont="1" applyFill="1" applyAlignment="1" applyProtection="1"/>
    <xf numFmtId="174" fontId="28" fillId="3" borderId="0" xfId="13" applyNumberFormat="1" applyFont="1" applyFill="1"/>
    <xf numFmtId="0" fontId="7" fillId="3" borderId="0" xfId="0" applyFont="1" applyFill="1" applyAlignment="1" applyProtection="1"/>
    <xf numFmtId="0" fontId="29" fillId="3" borderId="0" xfId="0" applyFont="1" applyFill="1" applyAlignment="1" applyProtection="1"/>
    <xf numFmtId="38" fontId="15" fillId="3" borderId="3" xfId="7" applyFill="1" applyBorder="1">
      <protection locked="0"/>
    </xf>
    <xf numFmtId="166" fontId="15" fillId="3" borderId="0" xfId="0" applyNumberFormat="1" applyFont="1" applyFill="1" applyAlignment="1" applyProtection="1"/>
    <xf numFmtId="3" fontId="15" fillId="3" borderId="0" xfId="0" applyNumberFormat="1" applyFont="1" applyFill="1" applyAlignment="1" applyProtection="1"/>
    <xf numFmtId="3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/>
    <xf numFmtId="174" fontId="23" fillId="0" borderId="0" xfId="13" applyNumberFormat="1" applyFont="1"/>
    <xf numFmtId="174" fontId="28" fillId="0" borderId="0" xfId="13" applyNumberFormat="1" applyFont="1"/>
    <xf numFmtId="3" fontId="22" fillId="0" borderId="0" xfId="0" applyNumberFormat="1" applyFont="1" applyAlignment="1" applyProtection="1">
      <alignment wrapText="1"/>
    </xf>
    <xf numFmtId="3" fontId="15" fillId="3" borderId="0" xfId="9" applyNumberFormat="1" applyFill="1" applyBorder="1">
      <protection locked="0"/>
    </xf>
    <xf numFmtId="0" fontId="9" fillId="0" borderId="0" xfId="0" applyFont="1" applyAlignment="1" applyProtection="1">
      <alignment horizontal="center"/>
    </xf>
    <xf numFmtId="3" fontId="29" fillId="0" borderId="0" xfId="0" applyNumberFormat="1" applyFont="1" applyAlignment="1" applyProtection="1"/>
    <xf numFmtId="3" fontId="30" fillId="0" borderId="0" xfId="0" applyNumberFormat="1" applyFont="1" applyAlignment="1" applyProtection="1"/>
    <xf numFmtId="164" fontId="9" fillId="0" borderId="0" xfId="0" applyNumberFormat="1" applyFont="1" applyAlignment="1" applyProtection="1">
      <alignment horizontal="center"/>
    </xf>
    <xf numFmtId="3" fontId="0" fillId="0" borderId="0" xfId="0" applyNumberFormat="1" applyBorder="1" applyAlignment="1"/>
    <xf numFmtId="38" fontId="15" fillId="0" borderId="3" xfId="7" applyBorder="1" applyAlignment="1">
      <alignment wrapText="1"/>
      <protection locked="0"/>
    </xf>
    <xf numFmtId="3" fontId="31" fillId="0" borderId="0" xfId="0" applyNumberFormat="1" applyFont="1" applyAlignment="1"/>
    <xf numFmtId="3" fontId="31" fillId="0" borderId="0" xfId="0" applyNumberFormat="1" applyFont="1" applyAlignment="1">
      <alignment horizontal="left"/>
    </xf>
    <xf numFmtId="172" fontId="0" fillId="0" borderId="0" xfId="0" applyNumberFormat="1" applyAlignment="1"/>
    <xf numFmtId="176" fontId="0" fillId="0" borderId="0" xfId="0" applyNumberFormat="1" applyAlignment="1"/>
    <xf numFmtId="177" fontId="0" fillId="0" borderId="0" xfId="0" applyNumberFormat="1" applyAlignment="1"/>
    <xf numFmtId="3" fontId="9" fillId="4" borderId="0" xfId="0" applyNumberFormat="1" applyFont="1" applyFill="1" applyAlignment="1" applyProtection="1"/>
    <xf numFmtId="164" fontId="9" fillId="4" borderId="0" xfId="0" applyNumberFormat="1" applyFont="1" applyFill="1" applyAlignment="1" applyProtection="1">
      <alignment horizontal="left"/>
    </xf>
    <xf numFmtId="3" fontId="0" fillId="4" borderId="0" xfId="0" applyNumberFormat="1" applyFill="1" applyAlignment="1"/>
    <xf numFmtId="164" fontId="9" fillId="4" borderId="0" xfId="0" applyNumberFormat="1" applyFont="1" applyFill="1" applyAlignment="1" applyProtection="1">
      <alignment horizontal="right"/>
    </xf>
    <xf numFmtId="0" fontId="29" fillId="0" borderId="0" xfId="0" applyFont="1" applyAlignment="1" applyProtection="1"/>
    <xf numFmtId="0" fontId="9" fillId="0" borderId="0" xfId="0" applyFont="1" applyAlignment="1" applyProtection="1"/>
    <xf numFmtId="40" fontId="15" fillId="0" borderId="3" xfId="7" applyNumberFormat="1" applyBorder="1">
      <protection locked="0"/>
    </xf>
    <xf numFmtId="177" fontId="0" fillId="0" borderId="0" xfId="0" applyNumberFormat="1" applyBorder="1" applyAlignment="1"/>
    <xf numFmtId="176" fontId="0" fillId="0" borderId="0" xfId="0" applyNumberFormat="1" applyBorder="1" applyAlignment="1"/>
    <xf numFmtId="3" fontId="14" fillId="0" borderId="0" xfId="0" applyNumberFormat="1" applyFont="1" applyBorder="1" applyAlignment="1"/>
    <xf numFmtId="3" fontId="0" fillId="0" borderId="0" xfId="0" applyNumberFormat="1" applyBorder="1" applyAlignment="1" applyProtection="1"/>
    <xf numFmtId="173" fontId="0" fillId="0" borderId="0" xfId="0" applyNumberFormat="1" applyAlignment="1" applyProtection="1"/>
    <xf numFmtId="43" fontId="15" fillId="0" borderId="0" xfId="13" applyFont="1" applyAlignment="1" applyProtection="1"/>
    <xf numFmtId="38" fontId="15" fillId="0" borderId="3" xfId="7" applyBorder="1" applyAlignment="1">
      <alignment vertical="center"/>
      <protection locked="0"/>
    </xf>
    <xf numFmtId="38" fontId="15" fillId="0" borderId="3" xfId="7" applyBorder="1" applyAlignment="1">
      <protection locked="0"/>
    </xf>
    <xf numFmtId="180" fontId="15" fillId="3" borderId="3" xfId="11" applyNumberFormat="1" applyFill="1" applyBorder="1" applyAlignment="1">
      <alignment horizontal="right"/>
      <protection locked="0"/>
    </xf>
    <xf numFmtId="178" fontId="15" fillId="3" borderId="3" xfId="8" applyNumberFormat="1" applyFill="1" applyBorder="1">
      <protection locked="0"/>
    </xf>
    <xf numFmtId="38" fontId="15" fillId="3" borderId="3" xfId="8" applyNumberFormat="1" applyFill="1" applyBorder="1">
      <protection locked="0"/>
    </xf>
    <xf numFmtId="174" fontId="15" fillId="3" borderId="3" xfId="13" applyNumberFormat="1" applyFont="1" applyFill="1" applyBorder="1" applyProtection="1">
      <protection locked="0"/>
    </xf>
    <xf numFmtId="0" fontId="8" fillId="3" borderId="0" xfId="0" applyFont="1" applyFill="1" applyAlignment="1" applyProtection="1"/>
    <xf numFmtId="0" fontId="23" fillId="3" borderId="0" xfId="0" applyFont="1" applyFill="1" applyAlignment="1" applyProtection="1"/>
    <xf numFmtId="174" fontId="23" fillId="3" borderId="0" xfId="13" applyNumberFormat="1" applyFont="1" applyFill="1"/>
    <xf numFmtId="43" fontId="0" fillId="0" borderId="0" xfId="13" applyFont="1" applyAlignment="1" applyProtection="1"/>
    <xf numFmtId="174" fontId="15" fillId="3" borderId="0" xfId="13" applyNumberFormat="1" applyFont="1" applyFill="1" applyBorder="1" applyAlignment="1" applyProtection="1">
      <alignment horizontal="left"/>
      <protection locked="0"/>
    </xf>
    <xf numFmtId="166" fontId="3" fillId="3" borderId="0" xfId="6" applyFont="1" applyFill="1" applyAlignment="1">
      <alignment vertical="top" wrapText="1"/>
    </xf>
    <xf numFmtId="166" fontId="3" fillId="3" borderId="0" xfId="6" applyFont="1" applyFill="1" applyAlignment="1">
      <alignment horizontal="left" vertical="top" wrapText="1"/>
    </xf>
    <xf numFmtId="38" fontId="15" fillId="0" borderId="8" xfId="7" applyBorder="1" applyAlignment="1">
      <alignment horizontal="center" vertical="center"/>
      <protection locked="0"/>
    </xf>
    <xf numFmtId="38" fontId="15" fillId="0" borderId="7" xfId="7" applyBorder="1" applyAlignment="1">
      <alignment horizontal="center" vertical="center"/>
      <protection locked="0"/>
    </xf>
    <xf numFmtId="166" fontId="13" fillId="0" borderId="0" xfId="6" applyFont="1" applyAlignment="1">
      <alignment horizontal="center" vertical="top" wrapText="1"/>
    </xf>
    <xf numFmtId="166" fontId="19" fillId="0" borderId="0" xfId="6" applyFont="1" applyAlignment="1">
      <alignment horizontal="center" vertical="top" wrapText="1"/>
    </xf>
    <xf numFmtId="1" fontId="13" fillId="0" borderId="0" xfId="6" applyNumberFormat="1" applyFont="1" applyAlignment="1">
      <alignment horizontal="center" vertical="top" wrapText="1"/>
    </xf>
    <xf numFmtId="166" fontId="3" fillId="0" borderId="0" xfId="6" applyFont="1" applyAlignment="1">
      <alignment horizontal="left" vertical="top" wrapText="1"/>
    </xf>
    <xf numFmtId="174" fontId="15" fillId="3" borderId="8" xfId="13" applyNumberFormat="1" applyFont="1" applyFill="1" applyBorder="1" applyAlignment="1" applyProtection="1">
      <alignment horizontal="left"/>
      <protection locked="0"/>
    </xf>
    <xf numFmtId="174" fontId="15" fillId="3" borderId="6" xfId="13" applyNumberFormat="1" applyFont="1" applyFill="1" applyBorder="1" applyAlignment="1" applyProtection="1">
      <alignment horizontal="left"/>
      <protection locked="0"/>
    </xf>
    <xf numFmtId="174" fontId="15" fillId="3" borderId="7" xfId="13" applyNumberFormat="1" applyFont="1" applyFill="1" applyBorder="1" applyAlignment="1" applyProtection="1">
      <alignment horizontal="left"/>
      <protection locked="0"/>
    </xf>
    <xf numFmtId="174" fontId="15" fillId="3" borderId="10" xfId="13" applyNumberFormat="1" applyFont="1" applyFill="1" applyBorder="1" applyAlignment="1" applyProtection="1">
      <alignment horizontal="left" vertical="center" wrapText="1"/>
      <protection locked="0"/>
    </xf>
    <xf numFmtId="174" fontId="15" fillId="3" borderId="9" xfId="13" applyNumberFormat="1" applyFont="1" applyFill="1" applyBorder="1" applyAlignment="1" applyProtection="1">
      <alignment horizontal="left" vertical="center" wrapText="1"/>
      <protection locked="0"/>
    </xf>
    <xf numFmtId="174" fontId="15" fillId="3" borderId="11" xfId="13" applyNumberFormat="1" applyFont="1" applyFill="1" applyBorder="1" applyAlignment="1" applyProtection="1">
      <alignment horizontal="left" vertical="center" wrapText="1"/>
      <protection locked="0"/>
    </xf>
    <xf numFmtId="174" fontId="15" fillId="3" borderId="12" xfId="13" applyNumberFormat="1" applyFont="1" applyFill="1" applyBorder="1" applyAlignment="1" applyProtection="1">
      <alignment horizontal="left" vertical="center" wrapText="1"/>
      <protection locked="0"/>
    </xf>
    <xf numFmtId="174" fontId="15" fillId="3" borderId="13" xfId="13" applyNumberFormat="1" applyFont="1" applyFill="1" applyBorder="1" applyAlignment="1" applyProtection="1">
      <alignment horizontal="left" vertical="center" wrapText="1"/>
      <protection locked="0"/>
    </xf>
    <xf numFmtId="174" fontId="15" fillId="3" borderId="14" xfId="13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 wrapText="1"/>
    </xf>
    <xf numFmtId="3" fontId="20" fillId="0" borderId="0" xfId="0" applyNumberFormat="1" applyFont="1" applyAlignment="1">
      <alignment horizontal="center" wrapText="1"/>
    </xf>
    <xf numFmtId="3" fontId="9" fillId="0" borderId="0" xfId="0" applyNumberFormat="1" applyFont="1" applyAlignment="1" applyProtection="1">
      <alignment horizontal="center" wrapText="1"/>
    </xf>
    <xf numFmtId="3" fontId="10" fillId="0" borderId="0" xfId="0" applyNumberFormat="1" applyFont="1" applyAlignment="1">
      <alignment horizontal="center" wrapText="1"/>
    </xf>
    <xf numFmtId="3" fontId="9" fillId="3" borderId="0" xfId="0" applyNumberFormat="1" applyFont="1" applyFill="1" applyAlignment="1" applyProtection="1">
      <alignment horizontal="center" wrapText="1"/>
    </xf>
    <xf numFmtId="164" fontId="9" fillId="3" borderId="0" xfId="0" applyNumberFormat="1" applyFont="1" applyFill="1" applyAlignment="1" applyProtection="1">
      <alignment horizontal="center" wrapText="1"/>
    </xf>
    <xf numFmtId="3" fontId="9" fillId="3" borderId="0" xfId="0" applyNumberFormat="1" applyFont="1" applyFill="1" applyAlignment="1" applyProtection="1">
      <alignment horizontal="center"/>
    </xf>
    <xf numFmtId="41" fontId="15" fillId="0" borderId="8" xfId="1" applyNumberFormat="1" applyFont="1" applyBorder="1" applyAlignment="1" applyProtection="1">
      <alignment horizontal="left" wrapText="1"/>
      <protection locked="0"/>
    </xf>
    <xf numFmtId="41" fontId="15" fillId="0" borderId="6" xfId="1" applyNumberFormat="1" applyFont="1" applyBorder="1" applyAlignment="1" applyProtection="1">
      <alignment horizontal="left" wrapText="1"/>
      <protection locked="0"/>
    </xf>
    <xf numFmtId="41" fontId="15" fillId="0" borderId="7" xfId="1" applyNumberFormat="1" applyFont="1" applyBorder="1" applyAlignment="1" applyProtection="1">
      <alignment horizontal="left" wrapText="1"/>
      <protection locked="0"/>
    </xf>
    <xf numFmtId="41" fontId="15" fillId="0" borderId="8" xfId="1" applyNumberFormat="1" applyFont="1" applyBorder="1" applyAlignment="1" applyProtection="1">
      <alignment horizontal="left" vertical="center" wrapText="1"/>
      <protection locked="0"/>
    </xf>
    <xf numFmtId="41" fontId="15" fillId="0" borderId="6" xfId="1" applyNumberFormat="1" applyFont="1" applyBorder="1" applyAlignment="1" applyProtection="1">
      <alignment horizontal="left" vertical="center" wrapText="1"/>
      <protection locked="0"/>
    </xf>
    <xf numFmtId="41" fontId="15" fillId="0" borderId="7" xfId="1" applyNumberFormat="1" applyFont="1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/>
    </xf>
    <xf numFmtId="3" fontId="9" fillId="3" borderId="0" xfId="0" applyNumberFormat="1" applyFont="1" applyFill="1" applyAlignment="1" applyProtection="1"/>
    <xf numFmtId="3" fontId="7" fillId="3" borderId="0" xfId="0" applyNumberFormat="1" applyFont="1" applyFill="1" applyAlignment="1" applyProtection="1"/>
    <xf numFmtId="3" fontId="0" fillId="0" borderId="0" xfId="0" applyNumberFormat="1" applyAlignment="1"/>
    <xf numFmtId="3" fontId="8" fillId="0" borderId="0" xfId="0" quotePrefix="1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0" fontId="4" fillId="0" borderId="0" xfId="0" applyFont="1" applyAlignment="1" applyProtection="1">
      <alignment horizontal="center"/>
    </xf>
    <xf numFmtId="3" fontId="8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 applyProtection="1">
      <alignment horizontal="left"/>
    </xf>
    <xf numFmtId="3" fontId="7" fillId="0" borderId="0" xfId="0" applyNumberFormat="1" applyFont="1" applyAlignment="1" applyProtection="1">
      <alignment horizontal="center"/>
    </xf>
    <xf numFmtId="3" fontId="8" fillId="0" borderId="0" xfId="0" quotePrefix="1" applyNumberFormat="1" applyFont="1" applyAlignment="1" applyProtection="1">
      <alignment horizontal="left" wrapText="1"/>
    </xf>
    <xf numFmtId="3" fontId="8" fillId="0" borderId="0" xfId="0" applyNumberFormat="1" applyFont="1" applyAlignment="1" applyProtection="1">
      <alignment horizontal="left" wrapText="1"/>
    </xf>
    <xf numFmtId="3" fontId="4" fillId="2" borderId="0" xfId="0" applyNumberFormat="1" applyFont="1" applyFill="1" applyAlignment="1" applyProtection="1">
      <alignment horizontal="center"/>
    </xf>
    <xf numFmtId="3" fontId="3" fillId="2" borderId="0" xfId="0" applyNumberFormat="1" applyFont="1" applyFill="1" applyAlignment="1" applyProtection="1"/>
    <xf numFmtId="3" fontId="5" fillId="2" borderId="0" xfId="0" applyNumberFormat="1" applyFont="1" applyFill="1" applyAlignment="1" applyProtection="1"/>
    <xf numFmtId="3" fontId="12" fillId="3" borderId="0" xfId="0" applyNumberFormat="1" applyFont="1" applyFill="1" applyAlignment="1">
      <alignment vertical="top" wrapText="1"/>
    </xf>
    <xf numFmtId="3" fontId="0" fillId="3" borderId="0" xfId="0" applyNumberFormat="1" applyFill="1" applyAlignment="1">
      <alignment vertical="top" wrapText="1"/>
    </xf>
    <xf numFmtId="164" fontId="9" fillId="0" borderId="0" xfId="0" applyNumberFormat="1" applyFont="1" applyBorder="1" applyAlignment="1" applyProtection="1">
      <alignment horizontal="center"/>
    </xf>
    <xf numFmtId="3" fontId="7" fillId="4" borderId="5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34" fillId="0" borderId="0" xfId="0" applyFo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/>
    </xf>
    <xf numFmtId="3" fontId="37" fillId="0" borderId="0" xfId="0" applyNumberFormat="1" applyFont="1" applyAlignment="1">
      <alignment horizontal="left" vertical="top" wrapText="1"/>
    </xf>
    <xf numFmtId="3" fontId="37" fillId="0" borderId="0" xfId="0" applyNumberFormat="1" applyFont="1" applyAlignment="1">
      <alignment vertical="top"/>
    </xf>
    <xf numFmtId="166" fontId="3" fillId="3" borderId="0" xfId="6" applyFont="1" applyFill="1" applyAlignment="1">
      <alignment vertical="top" wrapText="1"/>
    </xf>
  </cellXfs>
  <cellStyles count="14">
    <cellStyle name="Curr ($1,234) L Black" xfId="5"/>
    <cellStyle name="Curr ($1,234) U Blue" xfId="11"/>
    <cellStyle name="Curr ($1,234.00) L Black" xfId="4"/>
    <cellStyle name="Curr ($1,234.00) U Blue" xfId="9"/>
    <cellStyle name="Curr (1,234) L Black" xfId="3"/>
    <cellStyle name="Curr (1,234) U Blue" xfId="7"/>
    <cellStyle name="Curr (1,234.0) L Black" xfId="12"/>
    <cellStyle name="Curr (1,234.0) U Blue" xfId="10"/>
    <cellStyle name="Curr (1,234.00) L Black" xfId="2"/>
    <cellStyle name="Curr (1,234.00) U Blue" xfId="8"/>
    <cellStyle name="Normal_Farrow-Wean 500" xfId="6"/>
    <cellStyle name="Денежный" xfId="1" builtinId="4"/>
    <cellStyle name="Обычный" xfId="0" builtinId="0"/>
    <cellStyle name="Финансовый" xfId="13" builtinId="3"/>
  </cellStyles>
  <dxfs count="0"/>
  <tableStyles count="0" defaultTableStyle="TableStyleMedium2" defaultPivotStyle="PivotStyleLight16"/>
  <colors>
    <mruColors>
      <color rgb="FF0111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6</xdr:row>
      <xdr:rowOff>28575</xdr:rowOff>
    </xdr:from>
    <xdr:to>
      <xdr:col>7</xdr:col>
      <xdr:colOff>276225</xdr:colOff>
      <xdr:row>22</xdr:row>
      <xdr:rowOff>0</xdr:rowOff>
    </xdr:to>
    <xdr:cxnSp macro="">
      <xdr:nvCxnSpPr>
        <xdr:cNvPr id="12" name="Прямая со стрелкой 11"/>
        <xdr:cNvCxnSpPr/>
      </xdr:nvCxnSpPr>
      <xdr:spPr>
        <a:xfrm flipH="1">
          <a:off x="1047751" y="1314450"/>
          <a:ext cx="3495674" cy="30575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6</xdr:row>
      <xdr:rowOff>9525</xdr:rowOff>
    </xdr:from>
    <xdr:to>
      <xdr:col>9</xdr:col>
      <xdr:colOff>228600</xdr:colOff>
      <xdr:row>22</xdr:row>
      <xdr:rowOff>0</xdr:rowOff>
    </xdr:to>
    <xdr:cxnSp macro="">
      <xdr:nvCxnSpPr>
        <xdr:cNvPr id="13" name="Прямая со стрелкой 12"/>
        <xdr:cNvCxnSpPr/>
      </xdr:nvCxnSpPr>
      <xdr:spPr>
        <a:xfrm flipH="1">
          <a:off x="1914525" y="1295400"/>
          <a:ext cx="3800475" cy="3076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285752</xdr:colOff>
      <xdr:row>6</xdr:row>
      <xdr:rowOff>38100</xdr:rowOff>
    </xdr:from>
    <xdr:to>
      <xdr:col>11</xdr:col>
      <xdr:colOff>200025</xdr:colOff>
      <xdr:row>22</xdr:row>
      <xdr:rowOff>19050</xdr:rowOff>
    </xdr:to>
    <xdr:cxnSp macro="">
      <xdr:nvCxnSpPr>
        <xdr:cNvPr id="14" name="Прямая со стрелкой 13"/>
        <xdr:cNvCxnSpPr/>
      </xdr:nvCxnSpPr>
      <xdr:spPr>
        <a:xfrm flipH="1">
          <a:off x="2724152" y="1323975"/>
          <a:ext cx="4181473" cy="30670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419101</xdr:colOff>
      <xdr:row>6</xdr:row>
      <xdr:rowOff>28575</xdr:rowOff>
    </xdr:from>
    <xdr:to>
      <xdr:col>13</xdr:col>
      <xdr:colOff>123825</xdr:colOff>
      <xdr:row>22</xdr:row>
      <xdr:rowOff>9525</xdr:rowOff>
    </xdr:to>
    <xdr:cxnSp macro="">
      <xdr:nvCxnSpPr>
        <xdr:cNvPr id="15" name="Прямая со стрелкой 14"/>
        <xdr:cNvCxnSpPr/>
      </xdr:nvCxnSpPr>
      <xdr:spPr>
        <a:xfrm flipH="1">
          <a:off x="3467101" y="1314450"/>
          <a:ext cx="4581524" cy="30670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438151</xdr:colOff>
      <xdr:row>6</xdr:row>
      <xdr:rowOff>9525</xdr:rowOff>
    </xdr:from>
    <xdr:to>
      <xdr:col>14</xdr:col>
      <xdr:colOff>561975</xdr:colOff>
      <xdr:row>22</xdr:row>
      <xdr:rowOff>9525</xdr:rowOff>
    </xdr:to>
    <xdr:cxnSp macro="">
      <xdr:nvCxnSpPr>
        <xdr:cNvPr id="16" name="Прямая со стрелкой 15"/>
        <xdr:cNvCxnSpPr/>
      </xdr:nvCxnSpPr>
      <xdr:spPr>
        <a:xfrm flipH="1">
          <a:off x="4095751" y="1295400"/>
          <a:ext cx="5000624" cy="308610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25</xdr:row>
      <xdr:rowOff>180975</xdr:rowOff>
    </xdr:from>
    <xdr:to>
      <xdr:col>19</xdr:col>
      <xdr:colOff>600075</xdr:colOff>
      <xdr:row>26</xdr:row>
      <xdr:rowOff>9525</xdr:rowOff>
    </xdr:to>
    <xdr:cxnSp macro="">
      <xdr:nvCxnSpPr>
        <xdr:cNvPr id="18" name="Прямая соединительная линия 17"/>
        <xdr:cNvCxnSpPr/>
      </xdr:nvCxnSpPr>
      <xdr:spPr>
        <a:xfrm>
          <a:off x="28575" y="5086350"/>
          <a:ext cx="12153900" cy="190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409575</xdr:colOff>
      <xdr:row>15</xdr:row>
      <xdr:rowOff>95250</xdr:rowOff>
    </xdr:from>
    <xdr:to>
      <xdr:col>14</xdr:col>
      <xdr:colOff>76200</xdr:colOff>
      <xdr:row>21</xdr:row>
      <xdr:rowOff>95250</xdr:rowOff>
    </xdr:to>
    <xdr:sp macro="" textlink="">
      <xdr:nvSpPr>
        <xdr:cNvPr id="19" name="Стрелка вниз 18"/>
        <xdr:cNvSpPr/>
      </xdr:nvSpPr>
      <xdr:spPr>
        <a:xfrm>
          <a:off x="8334375" y="3133725"/>
          <a:ext cx="276225" cy="1143000"/>
        </a:xfrm>
        <a:prstGeom prst="down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422412</xdr:colOff>
      <xdr:row>3</xdr:row>
      <xdr:rowOff>107673</xdr:rowOff>
    </xdr:from>
    <xdr:to>
      <xdr:col>7</xdr:col>
      <xdr:colOff>571499</xdr:colOff>
      <xdr:row>12</xdr:row>
      <xdr:rowOff>101900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6803" y="919369"/>
          <a:ext cx="2600739" cy="19323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429</xdr:row>
      <xdr:rowOff>0</xdr:rowOff>
    </xdr:from>
    <xdr:to>
      <xdr:col>5</xdr:col>
      <xdr:colOff>562104</xdr:colOff>
      <xdr:row>441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83181825"/>
          <a:ext cx="3076705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showGridLines="0" tabSelected="1" workbookViewId="0"/>
  </sheetViews>
  <sheetFormatPr defaultRowHeight="15" x14ac:dyDescent="0.25"/>
  <sheetData>
    <row r="3" spans="2:16" ht="18" x14ac:dyDescent="0.25">
      <c r="B3" s="265" t="s">
        <v>367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2:16" ht="18" x14ac:dyDescent="0.2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2:16" ht="18" x14ac:dyDescent="0.25">
      <c r="B5" s="266" t="s">
        <v>368</v>
      </c>
      <c r="C5" s="266"/>
      <c r="D5" s="266"/>
      <c r="E5" s="266"/>
      <c r="F5" s="266"/>
      <c r="G5" s="266"/>
      <c r="H5" s="266"/>
      <c r="I5" s="266"/>
      <c r="J5" s="266"/>
      <c r="K5" s="265"/>
      <c r="L5" s="265"/>
      <c r="M5" s="265"/>
      <c r="N5" s="265"/>
    </row>
    <row r="6" spans="2:16" ht="17.25" customHeight="1" x14ac:dyDescent="0.25">
      <c r="B6" s="267" t="s">
        <v>369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2:16" x14ac:dyDescent="0.25"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</row>
    <row r="15" spans="2:16" ht="18" x14ac:dyDescent="0.25">
      <c r="L15" s="265" t="s">
        <v>370</v>
      </c>
    </row>
    <row r="29" spans="1:14" ht="74.25" customHeight="1" x14ac:dyDescent="0.25">
      <c r="A29" s="268">
        <v>1</v>
      </c>
      <c r="B29" s="267" t="s">
        <v>371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</row>
    <row r="31" spans="1:14" ht="57.75" customHeight="1" x14ac:dyDescent="0.25">
      <c r="A31" s="268">
        <v>2</v>
      </c>
      <c r="B31" s="267" t="s">
        <v>372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</row>
    <row r="33" spans="1:14" ht="37.5" customHeight="1" x14ac:dyDescent="0.25">
      <c r="A33" s="268">
        <v>3</v>
      </c>
      <c r="B33" s="267" t="s">
        <v>373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</row>
    <row r="35" spans="1:14" ht="151.5" customHeight="1" x14ac:dyDescent="0.25">
      <c r="A35" s="268">
        <v>4</v>
      </c>
      <c r="B35" s="267" t="s">
        <v>374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</row>
    <row r="38" spans="1:14" ht="46.5" customHeight="1" x14ac:dyDescent="0.25">
      <c r="B38" s="267" t="s">
        <v>375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</row>
  </sheetData>
  <sheetProtection password="D73E" sheet="1" objects="1" scenarios="1"/>
  <mergeCells count="8">
    <mergeCell ref="B33:N33"/>
    <mergeCell ref="B35:N35"/>
    <mergeCell ref="B6:P6"/>
    <mergeCell ref="B38:N38"/>
    <mergeCell ref="B5:J5"/>
    <mergeCell ref="B7:N7"/>
    <mergeCell ref="B29:N29"/>
    <mergeCell ref="B31:N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32"/>
  <sheetViews>
    <sheetView showGridLines="0" zoomScale="115" zoomScaleNormal="115" workbookViewId="0">
      <selection activeCell="J10" sqref="J10"/>
    </sheetView>
  </sheetViews>
  <sheetFormatPr defaultRowHeight="15" x14ac:dyDescent="0.25"/>
  <cols>
    <col min="1" max="1" width="8.85546875" style="34" customWidth="1"/>
    <col min="2" max="2" width="17" style="34" customWidth="1"/>
    <col min="3" max="9" width="9.140625" style="34"/>
    <col min="10" max="10" width="11.7109375" style="34" customWidth="1"/>
    <col min="11" max="258" width="9.140625" style="34"/>
    <col min="259" max="259" width="8.85546875" style="34" customWidth="1"/>
    <col min="260" max="260" width="12" style="34" customWidth="1"/>
    <col min="261" max="514" width="9.140625" style="34"/>
    <col min="515" max="515" width="8.85546875" style="34" customWidth="1"/>
    <col min="516" max="516" width="12" style="34" customWidth="1"/>
    <col min="517" max="770" width="9.140625" style="34"/>
    <col min="771" max="771" width="8.85546875" style="34" customWidth="1"/>
    <col min="772" max="772" width="12" style="34" customWidth="1"/>
    <col min="773" max="1026" width="9.140625" style="34"/>
    <col min="1027" max="1027" width="8.85546875" style="34" customWidth="1"/>
    <col min="1028" max="1028" width="12" style="34" customWidth="1"/>
    <col min="1029" max="1282" width="9.140625" style="34"/>
    <col min="1283" max="1283" width="8.85546875" style="34" customWidth="1"/>
    <col min="1284" max="1284" width="12" style="34" customWidth="1"/>
    <col min="1285" max="1538" width="9.140625" style="34"/>
    <col min="1539" max="1539" width="8.85546875" style="34" customWidth="1"/>
    <col min="1540" max="1540" width="12" style="34" customWidth="1"/>
    <col min="1541" max="1794" width="9.140625" style="34"/>
    <col min="1795" max="1795" width="8.85546875" style="34" customWidth="1"/>
    <col min="1796" max="1796" width="12" style="34" customWidth="1"/>
    <col min="1797" max="2050" width="9.140625" style="34"/>
    <col min="2051" max="2051" width="8.85546875" style="34" customWidth="1"/>
    <col min="2052" max="2052" width="12" style="34" customWidth="1"/>
    <col min="2053" max="2306" width="9.140625" style="34"/>
    <col min="2307" max="2307" width="8.85546875" style="34" customWidth="1"/>
    <col min="2308" max="2308" width="12" style="34" customWidth="1"/>
    <col min="2309" max="2562" width="9.140625" style="34"/>
    <col min="2563" max="2563" width="8.85546875" style="34" customWidth="1"/>
    <col min="2564" max="2564" width="12" style="34" customWidth="1"/>
    <col min="2565" max="2818" width="9.140625" style="34"/>
    <col min="2819" max="2819" width="8.85546875" style="34" customWidth="1"/>
    <col min="2820" max="2820" width="12" style="34" customWidth="1"/>
    <col min="2821" max="3074" width="9.140625" style="34"/>
    <col min="3075" max="3075" width="8.85546875" style="34" customWidth="1"/>
    <col min="3076" max="3076" width="12" style="34" customWidth="1"/>
    <col min="3077" max="3330" width="9.140625" style="34"/>
    <col min="3331" max="3331" width="8.85546875" style="34" customWidth="1"/>
    <col min="3332" max="3332" width="12" style="34" customWidth="1"/>
    <col min="3333" max="3586" width="9.140625" style="34"/>
    <col min="3587" max="3587" width="8.85546875" style="34" customWidth="1"/>
    <col min="3588" max="3588" width="12" style="34" customWidth="1"/>
    <col min="3589" max="3842" width="9.140625" style="34"/>
    <col min="3843" max="3843" width="8.85546875" style="34" customWidth="1"/>
    <col min="3844" max="3844" width="12" style="34" customWidth="1"/>
    <col min="3845" max="4098" width="9.140625" style="34"/>
    <col min="4099" max="4099" width="8.85546875" style="34" customWidth="1"/>
    <col min="4100" max="4100" width="12" style="34" customWidth="1"/>
    <col min="4101" max="4354" width="9.140625" style="34"/>
    <col min="4355" max="4355" width="8.85546875" style="34" customWidth="1"/>
    <col min="4356" max="4356" width="12" style="34" customWidth="1"/>
    <col min="4357" max="4610" width="9.140625" style="34"/>
    <col min="4611" max="4611" width="8.85546875" style="34" customWidth="1"/>
    <col min="4612" max="4612" width="12" style="34" customWidth="1"/>
    <col min="4613" max="4866" width="9.140625" style="34"/>
    <col min="4867" max="4867" width="8.85546875" style="34" customWidth="1"/>
    <col min="4868" max="4868" width="12" style="34" customWidth="1"/>
    <col min="4869" max="5122" width="9.140625" style="34"/>
    <col min="5123" max="5123" width="8.85546875" style="34" customWidth="1"/>
    <col min="5124" max="5124" width="12" style="34" customWidth="1"/>
    <col min="5125" max="5378" width="9.140625" style="34"/>
    <col min="5379" max="5379" width="8.85546875" style="34" customWidth="1"/>
    <col min="5380" max="5380" width="12" style="34" customWidth="1"/>
    <col min="5381" max="5634" width="9.140625" style="34"/>
    <col min="5635" max="5635" width="8.85546875" style="34" customWidth="1"/>
    <col min="5636" max="5636" width="12" style="34" customWidth="1"/>
    <col min="5637" max="5890" width="9.140625" style="34"/>
    <col min="5891" max="5891" width="8.85546875" style="34" customWidth="1"/>
    <col min="5892" max="5892" width="12" style="34" customWidth="1"/>
    <col min="5893" max="6146" width="9.140625" style="34"/>
    <col min="6147" max="6147" width="8.85546875" style="34" customWidth="1"/>
    <col min="6148" max="6148" width="12" style="34" customWidth="1"/>
    <col min="6149" max="6402" width="9.140625" style="34"/>
    <col min="6403" max="6403" width="8.85546875" style="34" customWidth="1"/>
    <col min="6404" max="6404" width="12" style="34" customWidth="1"/>
    <col min="6405" max="6658" width="9.140625" style="34"/>
    <col min="6659" max="6659" width="8.85546875" style="34" customWidth="1"/>
    <col min="6660" max="6660" width="12" style="34" customWidth="1"/>
    <col min="6661" max="6914" width="9.140625" style="34"/>
    <col min="6915" max="6915" width="8.85546875" style="34" customWidth="1"/>
    <col min="6916" max="6916" width="12" style="34" customWidth="1"/>
    <col min="6917" max="7170" width="9.140625" style="34"/>
    <col min="7171" max="7171" width="8.85546875" style="34" customWidth="1"/>
    <col min="7172" max="7172" width="12" style="34" customWidth="1"/>
    <col min="7173" max="7426" width="9.140625" style="34"/>
    <col min="7427" max="7427" width="8.85546875" style="34" customWidth="1"/>
    <col min="7428" max="7428" width="12" style="34" customWidth="1"/>
    <col min="7429" max="7682" width="9.140625" style="34"/>
    <col min="7683" max="7683" width="8.85546875" style="34" customWidth="1"/>
    <col min="7684" max="7684" width="12" style="34" customWidth="1"/>
    <col min="7685" max="7938" width="9.140625" style="34"/>
    <col min="7939" max="7939" width="8.85546875" style="34" customWidth="1"/>
    <col min="7940" max="7940" width="12" style="34" customWidth="1"/>
    <col min="7941" max="8194" width="9.140625" style="34"/>
    <col min="8195" max="8195" width="8.85546875" style="34" customWidth="1"/>
    <col min="8196" max="8196" width="12" style="34" customWidth="1"/>
    <col min="8197" max="8450" width="9.140625" style="34"/>
    <col min="8451" max="8451" width="8.85546875" style="34" customWidth="1"/>
    <col min="8452" max="8452" width="12" style="34" customWidth="1"/>
    <col min="8453" max="8706" width="9.140625" style="34"/>
    <col min="8707" max="8707" width="8.85546875" style="34" customWidth="1"/>
    <col min="8708" max="8708" width="12" style="34" customWidth="1"/>
    <col min="8709" max="8962" width="9.140625" style="34"/>
    <col min="8963" max="8963" width="8.85546875" style="34" customWidth="1"/>
    <col min="8964" max="8964" width="12" style="34" customWidth="1"/>
    <col min="8965" max="9218" width="9.140625" style="34"/>
    <col min="9219" max="9219" width="8.85546875" style="34" customWidth="1"/>
    <col min="9220" max="9220" width="12" style="34" customWidth="1"/>
    <col min="9221" max="9474" width="9.140625" style="34"/>
    <col min="9475" max="9475" width="8.85546875" style="34" customWidth="1"/>
    <col min="9476" max="9476" width="12" style="34" customWidth="1"/>
    <col min="9477" max="9730" width="9.140625" style="34"/>
    <col min="9731" max="9731" width="8.85546875" style="34" customWidth="1"/>
    <col min="9732" max="9732" width="12" style="34" customWidth="1"/>
    <col min="9733" max="9986" width="9.140625" style="34"/>
    <col min="9987" max="9987" width="8.85546875" style="34" customWidth="1"/>
    <col min="9988" max="9988" width="12" style="34" customWidth="1"/>
    <col min="9989" max="10242" width="9.140625" style="34"/>
    <col min="10243" max="10243" width="8.85546875" style="34" customWidth="1"/>
    <col min="10244" max="10244" width="12" style="34" customWidth="1"/>
    <col min="10245" max="10498" width="9.140625" style="34"/>
    <col min="10499" max="10499" width="8.85546875" style="34" customWidth="1"/>
    <col min="10500" max="10500" width="12" style="34" customWidth="1"/>
    <col min="10501" max="10754" width="9.140625" style="34"/>
    <col min="10755" max="10755" width="8.85546875" style="34" customWidth="1"/>
    <col min="10756" max="10756" width="12" style="34" customWidth="1"/>
    <col min="10757" max="11010" width="9.140625" style="34"/>
    <col min="11011" max="11011" width="8.85546875" style="34" customWidth="1"/>
    <col min="11012" max="11012" width="12" style="34" customWidth="1"/>
    <col min="11013" max="11266" width="9.140625" style="34"/>
    <col min="11267" max="11267" width="8.85546875" style="34" customWidth="1"/>
    <col min="11268" max="11268" width="12" style="34" customWidth="1"/>
    <col min="11269" max="11522" width="9.140625" style="34"/>
    <col min="11523" max="11523" width="8.85546875" style="34" customWidth="1"/>
    <col min="11524" max="11524" width="12" style="34" customWidth="1"/>
    <col min="11525" max="11778" width="9.140625" style="34"/>
    <col min="11779" max="11779" width="8.85546875" style="34" customWidth="1"/>
    <col min="11780" max="11780" width="12" style="34" customWidth="1"/>
    <col min="11781" max="12034" width="9.140625" style="34"/>
    <col min="12035" max="12035" width="8.85546875" style="34" customWidth="1"/>
    <col min="12036" max="12036" width="12" style="34" customWidth="1"/>
    <col min="12037" max="12290" width="9.140625" style="34"/>
    <col min="12291" max="12291" width="8.85546875" style="34" customWidth="1"/>
    <col min="12292" max="12292" width="12" style="34" customWidth="1"/>
    <col min="12293" max="12546" width="9.140625" style="34"/>
    <col min="12547" max="12547" width="8.85546875" style="34" customWidth="1"/>
    <col min="12548" max="12548" width="12" style="34" customWidth="1"/>
    <col min="12549" max="12802" width="9.140625" style="34"/>
    <col min="12803" max="12803" width="8.85546875" style="34" customWidth="1"/>
    <col min="12804" max="12804" width="12" style="34" customWidth="1"/>
    <col min="12805" max="13058" width="9.140625" style="34"/>
    <col min="13059" max="13059" width="8.85546875" style="34" customWidth="1"/>
    <col min="13060" max="13060" width="12" style="34" customWidth="1"/>
    <col min="13061" max="13314" width="9.140625" style="34"/>
    <col min="13315" max="13315" width="8.85546875" style="34" customWidth="1"/>
    <col min="13316" max="13316" width="12" style="34" customWidth="1"/>
    <col min="13317" max="13570" width="9.140625" style="34"/>
    <col min="13571" max="13571" width="8.85546875" style="34" customWidth="1"/>
    <col min="13572" max="13572" width="12" style="34" customWidth="1"/>
    <col min="13573" max="13826" width="9.140625" style="34"/>
    <col min="13827" max="13827" width="8.85546875" style="34" customWidth="1"/>
    <col min="13828" max="13828" width="12" style="34" customWidth="1"/>
    <col min="13829" max="14082" width="9.140625" style="34"/>
    <col min="14083" max="14083" width="8.85546875" style="34" customWidth="1"/>
    <col min="14084" max="14084" width="12" style="34" customWidth="1"/>
    <col min="14085" max="14338" width="9.140625" style="34"/>
    <col min="14339" max="14339" width="8.85546875" style="34" customWidth="1"/>
    <col min="14340" max="14340" width="12" style="34" customWidth="1"/>
    <col min="14341" max="14594" width="9.140625" style="34"/>
    <col min="14595" max="14595" width="8.85546875" style="34" customWidth="1"/>
    <col min="14596" max="14596" width="12" style="34" customWidth="1"/>
    <col min="14597" max="14850" width="9.140625" style="34"/>
    <col min="14851" max="14851" width="8.85546875" style="34" customWidth="1"/>
    <col min="14852" max="14852" width="12" style="34" customWidth="1"/>
    <col min="14853" max="15106" width="9.140625" style="34"/>
    <col min="15107" max="15107" width="8.85546875" style="34" customWidth="1"/>
    <col min="15108" max="15108" width="12" style="34" customWidth="1"/>
    <col min="15109" max="15362" width="9.140625" style="34"/>
    <col min="15363" max="15363" width="8.85546875" style="34" customWidth="1"/>
    <col min="15364" max="15364" width="12" style="34" customWidth="1"/>
    <col min="15365" max="15618" width="9.140625" style="34"/>
    <col min="15619" max="15619" width="8.85546875" style="34" customWidth="1"/>
    <col min="15620" max="15620" width="12" style="34" customWidth="1"/>
    <col min="15621" max="15874" width="9.140625" style="34"/>
    <col min="15875" max="15875" width="8.85546875" style="34" customWidth="1"/>
    <col min="15876" max="15876" width="12" style="34" customWidth="1"/>
    <col min="15877" max="16130" width="9.140625" style="34"/>
    <col min="16131" max="16131" width="8.85546875" style="34" customWidth="1"/>
    <col min="16132" max="16132" width="12" style="34" customWidth="1"/>
    <col min="16133" max="16384" width="9.140625" style="34"/>
  </cols>
  <sheetData>
    <row r="1" spans="1:12" ht="20.25" x14ac:dyDescent="0.25">
      <c r="A1" s="215" t="s">
        <v>363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3.25" x14ac:dyDescent="0.25">
      <c r="A2" s="216" t="s">
        <v>364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0.25" x14ac:dyDescent="0.25">
      <c r="A3" s="217" t="str">
        <f>"На основании стада в количестве "&amp;'Ввод данных'!E14&amp;" голов"</f>
        <v>На основании стада в количестве 500 голов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21.75" customHeight="1" x14ac:dyDescent="0.25"/>
    <row r="5" spans="1:12" ht="20.25" customHeight="1" thickBot="1" x14ac:dyDescent="0.3"/>
    <row r="6" spans="1:12" ht="21" customHeight="1" thickBot="1" x14ac:dyDescent="0.3">
      <c r="I6" s="35" t="s">
        <v>11</v>
      </c>
      <c r="J6" s="213" t="s">
        <v>366</v>
      </c>
      <c r="K6" s="214"/>
    </row>
    <row r="14" spans="1:12" ht="15" customHeight="1" x14ac:dyDescent="0.25">
      <c r="B14" s="218" t="s">
        <v>365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2" ht="15" customHeight="1" x14ac:dyDescent="0.25"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2" ht="18.75" customHeight="1" x14ac:dyDescent="0.25">
      <c r="B16" s="218"/>
      <c r="C16" s="218"/>
      <c r="D16" s="218"/>
      <c r="E16" s="218"/>
      <c r="F16" s="218"/>
      <c r="G16" s="218"/>
      <c r="H16" s="218"/>
      <c r="I16" s="218"/>
      <c r="J16" s="218"/>
      <c r="K16" s="218"/>
    </row>
    <row r="17" spans="2:11" ht="15" customHeight="1" x14ac:dyDescent="0.25">
      <c r="B17" s="212" t="s">
        <v>257</v>
      </c>
      <c r="C17" s="212"/>
      <c r="D17" s="212"/>
      <c r="E17" s="212"/>
      <c r="F17" s="212"/>
      <c r="G17" s="212"/>
      <c r="H17" s="212"/>
      <c r="I17" s="212"/>
      <c r="J17" s="212"/>
      <c r="K17" s="212"/>
    </row>
    <row r="18" spans="2:11" ht="15" customHeight="1" x14ac:dyDescent="0.25">
      <c r="B18" s="212"/>
      <c r="C18" s="212"/>
      <c r="D18" s="212"/>
      <c r="E18" s="212"/>
      <c r="F18" s="212"/>
      <c r="G18" s="212"/>
      <c r="H18" s="212"/>
      <c r="I18" s="212"/>
      <c r="J18" s="212"/>
      <c r="K18" s="212"/>
    </row>
    <row r="19" spans="2:11" ht="15" customHeight="1" x14ac:dyDescent="0.25">
      <c r="B19" s="212"/>
      <c r="C19" s="212"/>
      <c r="D19" s="212"/>
      <c r="E19" s="212"/>
      <c r="F19" s="212"/>
      <c r="G19" s="212"/>
      <c r="H19" s="212"/>
      <c r="I19" s="212"/>
      <c r="J19" s="212"/>
      <c r="K19" s="212"/>
    </row>
    <row r="20" spans="2:11" ht="15" customHeight="1" x14ac:dyDescent="0.25">
      <c r="B20" s="212"/>
      <c r="C20" s="212"/>
      <c r="D20" s="212"/>
      <c r="E20" s="212"/>
      <c r="F20" s="212"/>
      <c r="G20" s="212"/>
      <c r="H20" s="212"/>
      <c r="I20" s="212"/>
      <c r="J20" s="212"/>
      <c r="K20" s="212"/>
    </row>
    <row r="21" spans="2:11" ht="15" customHeight="1" x14ac:dyDescent="0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</row>
    <row r="22" spans="2:11" ht="18.75" customHeight="1" x14ac:dyDescent="0.25"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2:11" ht="21.75" customHeight="1" x14ac:dyDescent="0.25">
      <c r="B23" s="271" t="s">
        <v>377</v>
      </c>
      <c r="C23" s="269" t="s">
        <v>376</v>
      </c>
      <c r="D23" s="269"/>
      <c r="E23" s="271"/>
      <c r="F23" s="271"/>
      <c r="G23" s="271"/>
      <c r="H23" s="271"/>
      <c r="I23" s="271"/>
      <c r="J23" s="211"/>
      <c r="K23" s="211"/>
    </row>
    <row r="24" spans="2:11" ht="21" customHeight="1" x14ac:dyDescent="0.25">
      <c r="B24" s="270" t="s">
        <v>378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2:11" ht="15" customHeight="1" x14ac:dyDescent="0.25">
      <c r="D25" s="68"/>
      <c r="E25" s="68"/>
      <c r="F25" s="68"/>
      <c r="G25" s="68"/>
      <c r="H25" s="68"/>
      <c r="I25" s="68"/>
      <c r="J25" s="68"/>
      <c r="K25" s="68"/>
    </row>
    <row r="26" spans="2:11" ht="15" customHeight="1" x14ac:dyDescent="0.25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 ht="15" customHeight="1" x14ac:dyDescent="0.25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 ht="15" customHeight="1" x14ac:dyDescent="0.25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 ht="15" customHeight="1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 ht="15" customHeight="1" x14ac:dyDescent="0.25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 ht="15" customHeight="1" x14ac:dyDescent="0.25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 ht="15" customHeight="1" x14ac:dyDescent="0.25">
      <c r="B32" s="68"/>
      <c r="C32" s="68"/>
      <c r="D32" s="68"/>
      <c r="E32" s="68"/>
      <c r="F32" s="68"/>
      <c r="G32" s="68"/>
      <c r="H32" s="68"/>
      <c r="I32" s="68"/>
      <c r="J32" s="68"/>
      <c r="K32" s="68"/>
    </row>
  </sheetData>
  <sheetProtection password="D73E" sheet="1" objects="1" scenarios="1"/>
  <mergeCells count="7">
    <mergeCell ref="C23:D23"/>
    <mergeCell ref="B17:K21"/>
    <mergeCell ref="J6:K6"/>
    <mergeCell ref="A1:L1"/>
    <mergeCell ref="A2:L2"/>
    <mergeCell ref="A3:L3"/>
    <mergeCell ref="B14:K16"/>
  </mergeCells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70C0"/>
  </sheetPr>
  <dimension ref="A1:N456"/>
  <sheetViews>
    <sheetView showGridLines="0" zoomScaleNormal="100" workbookViewId="0">
      <selection activeCell="D14" sqref="D14"/>
    </sheetView>
  </sheetViews>
  <sheetFormatPr defaultColWidth="12.5703125" defaultRowHeight="15" x14ac:dyDescent="0.25"/>
  <cols>
    <col min="1" max="1" width="18" style="26" customWidth="1"/>
    <col min="2" max="2" width="11.140625" style="26" customWidth="1"/>
    <col min="3" max="3" width="18.42578125" style="26" customWidth="1"/>
    <col min="4" max="4" width="18.28515625" style="26" customWidth="1"/>
    <col min="5" max="5" width="17" style="26" customWidth="1"/>
    <col min="6" max="6" width="15.28515625" style="26" customWidth="1"/>
    <col min="7" max="7" width="15.42578125" style="26" customWidth="1"/>
    <col min="8" max="8" width="16" style="26" customWidth="1"/>
    <col min="9" max="9" width="10.85546875" style="26" customWidth="1"/>
    <col min="10" max="10" width="12.5703125" style="26"/>
    <col min="11" max="11" width="12" style="26" customWidth="1"/>
    <col min="12" max="256" width="12.5703125" style="26"/>
    <col min="257" max="257" width="16.28515625" style="26" customWidth="1"/>
    <col min="258" max="258" width="11.140625" style="26" customWidth="1"/>
    <col min="259" max="259" width="11" style="26" customWidth="1"/>
    <col min="260" max="260" width="13.28515625" style="26" customWidth="1"/>
    <col min="261" max="261" width="13.85546875" style="26" customWidth="1"/>
    <col min="262" max="262" width="10.140625" style="26" customWidth="1"/>
    <col min="263" max="263" width="9.42578125" style="26" customWidth="1"/>
    <col min="264" max="264" width="11.5703125" style="26" customWidth="1"/>
    <col min="265" max="265" width="10.85546875" style="26" customWidth="1"/>
    <col min="266" max="512" width="12.5703125" style="26"/>
    <col min="513" max="513" width="16.28515625" style="26" customWidth="1"/>
    <col min="514" max="514" width="11.140625" style="26" customWidth="1"/>
    <col min="515" max="515" width="11" style="26" customWidth="1"/>
    <col min="516" max="516" width="13.28515625" style="26" customWidth="1"/>
    <col min="517" max="517" width="13.85546875" style="26" customWidth="1"/>
    <col min="518" max="518" width="10.140625" style="26" customWidth="1"/>
    <col min="519" max="519" width="9.42578125" style="26" customWidth="1"/>
    <col min="520" max="520" width="11.5703125" style="26" customWidth="1"/>
    <col min="521" max="521" width="10.85546875" style="26" customWidth="1"/>
    <col min="522" max="768" width="12.5703125" style="26"/>
    <col min="769" max="769" width="16.28515625" style="26" customWidth="1"/>
    <col min="770" max="770" width="11.140625" style="26" customWidth="1"/>
    <col min="771" max="771" width="11" style="26" customWidth="1"/>
    <col min="772" max="772" width="13.28515625" style="26" customWidth="1"/>
    <col min="773" max="773" width="13.85546875" style="26" customWidth="1"/>
    <col min="774" max="774" width="10.140625" style="26" customWidth="1"/>
    <col min="775" max="775" width="9.42578125" style="26" customWidth="1"/>
    <col min="776" max="776" width="11.5703125" style="26" customWidth="1"/>
    <col min="777" max="777" width="10.85546875" style="26" customWidth="1"/>
    <col min="778" max="1024" width="12.5703125" style="26"/>
    <col min="1025" max="1025" width="16.28515625" style="26" customWidth="1"/>
    <col min="1026" max="1026" width="11.140625" style="26" customWidth="1"/>
    <col min="1027" max="1027" width="11" style="26" customWidth="1"/>
    <col min="1028" max="1028" width="13.28515625" style="26" customWidth="1"/>
    <col min="1029" max="1029" width="13.85546875" style="26" customWidth="1"/>
    <col min="1030" max="1030" width="10.140625" style="26" customWidth="1"/>
    <col min="1031" max="1031" width="9.42578125" style="26" customWidth="1"/>
    <col min="1032" max="1032" width="11.5703125" style="26" customWidth="1"/>
    <col min="1033" max="1033" width="10.85546875" style="26" customWidth="1"/>
    <col min="1034" max="1280" width="12.5703125" style="26"/>
    <col min="1281" max="1281" width="16.28515625" style="26" customWidth="1"/>
    <col min="1282" max="1282" width="11.140625" style="26" customWidth="1"/>
    <col min="1283" max="1283" width="11" style="26" customWidth="1"/>
    <col min="1284" max="1284" width="13.28515625" style="26" customWidth="1"/>
    <col min="1285" max="1285" width="13.85546875" style="26" customWidth="1"/>
    <col min="1286" max="1286" width="10.140625" style="26" customWidth="1"/>
    <col min="1287" max="1287" width="9.42578125" style="26" customWidth="1"/>
    <col min="1288" max="1288" width="11.5703125" style="26" customWidth="1"/>
    <col min="1289" max="1289" width="10.85546875" style="26" customWidth="1"/>
    <col min="1290" max="1536" width="12.5703125" style="26"/>
    <col min="1537" max="1537" width="16.28515625" style="26" customWidth="1"/>
    <col min="1538" max="1538" width="11.140625" style="26" customWidth="1"/>
    <col min="1539" max="1539" width="11" style="26" customWidth="1"/>
    <col min="1540" max="1540" width="13.28515625" style="26" customWidth="1"/>
    <col min="1541" max="1541" width="13.85546875" style="26" customWidth="1"/>
    <col min="1542" max="1542" width="10.140625" style="26" customWidth="1"/>
    <col min="1543" max="1543" width="9.42578125" style="26" customWidth="1"/>
    <col min="1544" max="1544" width="11.5703125" style="26" customWidth="1"/>
    <col min="1545" max="1545" width="10.85546875" style="26" customWidth="1"/>
    <col min="1546" max="1792" width="12.5703125" style="26"/>
    <col min="1793" max="1793" width="16.28515625" style="26" customWidth="1"/>
    <col min="1794" max="1794" width="11.140625" style="26" customWidth="1"/>
    <col min="1795" max="1795" width="11" style="26" customWidth="1"/>
    <col min="1796" max="1796" width="13.28515625" style="26" customWidth="1"/>
    <col min="1797" max="1797" width="13.85546875" style="26" customWidth="1"/>
    <col min="1798" max="1798" width="10.140625" style="26" customWidth="1"/>
    <col min="1799" max="1799" width="9.42578125" style="26" customWidth="1"/>
    <col min="1800" max="1800" width="11.5703125" style="26" customWidth="1"/>
    <col min="1801" max="1801" width="10.85546875" style="26" customWidth="1"/>
    <col min="1802" max="2048" width="12.5703125" style="26"/>
    <col min="2049" max="2049" width="16.28515625" style="26" customWidth="1"/>
    <col min="2050" max="2050" width="11.140625" style="26" customWidth="1"/>
    <col min="2051" max="2051" width="11" style="26" customWidth="1"/>
    <col min="2052" max="2052" width="13.28515625" style="26" customWidth="1"/>
    <col min="2053" max="2053" width="13.85546875" style="26" customWidth="1"/>
    <col min="2054" max="2054" width="10.140625" style="26" customWidth="1"/>
    <col min="2055" max="2055" width="9.42578125" style="26" customWidth="1"/>
    <col min="2056" max="2056" width="11.5703125" style="26" customWidth="1"/>
    <col min="2057" max="2057" width="10.85546875" style="26" customWidth="1"/>
    <col min="2058" max="2304" width="12.5703125" style="26"/>
    <col min="2305" max="2305" width="16.28515625" style="26" customWidth="1"/>
    <col min="2306" max="2306" width="11.140625" style="26" customWidth="1"/>
    <col min="2307" max="2307" width="11" style="26" customWidth="1"/>
    <col min="2308" max="2308" width="13.28515625" style="26" customWidth="1"/>
    <col min="2309" max="2309" width="13.85546875" style="26" customWidth="1"/>
    <col min="2310" max="2310" width="10.140625" style="26" customWidth="1"/>
    <col min="2311" max="2311" width="9.42578125" style="26" customWidth="1"/>
    <col min="2312" max="2312" width="11.5703125" style="26" customWidth="1"/>
    <col min="2313" max="2313" width="10.85546875" style="26" customWidth="1"/>
    <col min="2314" max="2560" width="12.5703125" style="26"/>
    <col min="2561" max="2561" width="16.28515625" style="26" customWidth="1"/>
    <col min="2562" max="2562" width="11.140625" style="26" customWidth="1"/>
    <col min="2563" max="2563" width="11" style="26" customWidth="1"/>
    <col min="2564" max="2564" width="13.28515625" style="26" customWidth="1"/>
    <col min="2565" max="2565" width="13.85546875" style="26" customWidth="1"/>
    <col min="2566" max="2566" width="10.140625" style="26" customWidth="1"/>
    <col min="2567" max="2567" width="9.42578125" style="26" customWidth="1"/>
    <col min="2568" max="2568" width="11.5703125" style="26" customWidth="1"/>
    <col min="2569" max="2569" width="10.85546875" style="26" customWidth="1"/>
    <col min="2570" max="2816" width="12.5703125" style="26"/>
    <col min="2817" max="2817" width="16.28515625" style="26" customWidth="1"/>
    <col min="2818" max="2818" width="11.140625" style="26" customWidth="1"/>
    <col min="2819" max="2819" width="11" style="26" customWidth="1"/>
    <col min="2820" max="2820" width="13.28515625" style="26" customWidth="1"/>
    <col min="2821" max="2821" width="13.85546875" style="26" customWidth="1"/>
    <col min="2822" max="2822" width="10.140625" style="26" customWidth="1"/>
    <col min="2823" max="2823" width="9.42578125" style="26" customWidth="1"/>
    <col min="2824" max="2824" width="11.5703125" style="26" customWidth="1"/>
    <col min="2825" max="2825" width="10.85546875" style="26" customWidth="1"/>
    <col min="2826" max="3072" width="12.5703125" style="26"/>
    <col min="3073" max="3073" width="16.28515625" style="26" customWidth="1"/>
    <col min="3074" max="3074" width="11.140625" style="26" customWidth="1"/>
    <col min="3075" max="3075" width="11" style="26" customWidth="1"/>
    <col min="3076" max="3076" width="13.28515625" style="26" customWidth="1"/>
    <col min="3077" max="3077" width="13.85546875" style="26" customWidth="1"/>
    <col min="3078" max="3078" width="10.140625" style="26" customWidth="1"/>
    <col min="3079" max="3079" width="9.42578125" style="26" customWidth="1"/>
    <col min="3080" max="3080" width="11.5703125" style="26" customWidth="1"/>
    <col min="3081" max="3081" width="10.85546875" style="26" customWidth="1"/>
    <col min="3082" max="3328" width="12.5703125" style="26"/>
    <col min="3329" max="3329" width="16.28515625" style="26" customWidth="1"/>
    <col min="3330" max="3330" width="11.140625" style="26" customWidth="1"/>
    <col min="3331" max="3331" width="11" style="26" customWidth="1"/>
    <col min="3332" max="3332" width="13.28515625" style="26" customWidth="1"/>
    <col min="3333" max="3333" width="13.85546875" style="26" customWidth="1"/>
    <col min="3334" max="3334" width="10.140625" style="26" customWidth="1"/>
    <col min="3335" max="3335" width="9.42578125" style="26" customWidth="1"/>
    <col min="3336" max="3336" width="11.5703125" style="26" customWidth="1"/>
    <col min="3337" max="3337" width="10.85546875" style="26" customWidth="1"/>
    <col min="3338" max="3584" width="12.5703125" style="26"/>
    <col min="3585" max="3585" width="16.28515625" style="26" customWidth="1"/>
    <col min="3586" max="3586" width="11.140625" style="26" customWidth="1"/>
    <col min="3587" max="3587" width="11" style="26" customWidth="1"/>
    <col min="3588" max="3588" width="13.28515625" style="26" customWidth="1"/>
    <col min="3589" max="3589" width="13.85546875" style="26" customWidth="1"/>
    <col min="3590" max="3590" width="10.140625" style="26" customWidth="1"/>
    <col min="3591" max="3591" width="9.42578125" style="26" customWidth="1"/>
    <col min="3592" max="3592" width="11.5703125" style="26" customWidth="1"/>
    <col min="3593" max="3593" width="10.85546875" style="26" customWidth="1"/>
    <col min="3594" max="3840" width="12.5703125" style="26"/>
    <col min="3841" max="3841" width="16.28515625" style="26" customWidth="1"/>
    <col min="3842" max="3842" width="11.140625" style="26" customWidth="1"/>
    <col min="3843" max="3843" width="11" style="26" customWidth="1"/>
    <col min="3844" max="3844" width="13.28515625" style="26" customWidth="1"/>
    <col min="3845" max="3845" width="13.85546875" style="26" customWidth="1"/>
    <col min="3846" max="3846" width="10.140625" style="26" customWidth="1"/>
    <col min="3847" max="3847" width="9.42578125" style="26" customWidth="1"/>
    <col min="3848" max="3848" width="11.5703125" style="26" customWidth="1"/>
    <col min="3849" max="3849" width="10.85546875" style="26" customWidth="1"/>
    <col min="3850" max="4096" width="12.5703125" style="26"/>
    <col min="4097" max="4097" width="16.28515625" style="26" customWidth="1"/>
    <col min="4098" max="4098" width="11.140625" style="26" customWidth="1"/>
    <col min="4099" max="4099" width="11" style="26" customWidth="1"/>
    <col min="4100" max="4100" width="13.28515625" style="26" customWidth="1"/>
    <col min="4101" max="4101" width="13.85546875" style="26" customWidth="1"/>
    <col min="4102" max="4102" width="10.140625" style="26" customWidth="1"/>
    <col min="4103" max="4103" width="9.42578125" style="26" customWidth="1"/>
    <col min="4104" max="4104" width="11.5703125" style="26" customWidth="1"/>
    <col min="4105" max="4105" width="10.85546875" style="26" customWidth="1"/>
    <col min="4106" max="4352" width="12.5703125" style="26"/>
    <col min="4353" max="4353" width="16.28515625" style="26" customWidth="1"/>
    <col min="4354" max="4354" width="11.140625" style="26" customWidth="1"/>
    <col min="4355" max="4355" width="11" style="26" customWidth="1"/>
    <col min="4356" max="4356" width="13.28515625" style="26" customWidth="1"/>
    <col min="4357" max="4357" width="13.85546875" style="26" customWidth="1"/>
    <col min="4358" max="4358" width="10.140625" style="26" customWidth="1"/>
    <col min="4359" max="4359" width="9.42578125" style="26" customWidth="1"/>
    <col min="4360" max="4360" width="11.5703125" style="26" customWidth="1"/>
    <col min="4361" max="4361" width="10.85546875" style="26" customWidth="1"/>
    <col min="4362" max="4608" width="12.5703125" style="26"/>
    <col min="4609" max="4609" width="16.28515625" style="26" customWidth="1"/>
    <col min="4610" max="4610" width="11.140625" style="26" customWidth="1"/>
    <col min="4611" max="4611" width="11" style="26" customWidth="1"/>
    <col min="4612" max="4612" width="13.28515625" style="26" customWidth="1"/>
    <col min="4613" max="4613" width="13.85546875" style="26" customWidth="1"/>
    <col min="4614" max="4614" width="10.140625" style="26" customWidth="1"/>
    <col min="4615" max="4615" width="9.42578125" style="26" customWidth="1"/>
    <col min="4616" max="4616" width="11.5703125" style="26" customWidth="1"/>
    <col min="4617" max="4617" width="10.85546875" style="26" customWidth="1"/>
    <col min="4618" max="4864" width="12.5703125" style="26"/>
    <col min="4865" max="4865" width="16.28515625" style="26" customWidth="1"/>
    <col min="4866" max="4866" width="11.140625" style="26" customWidth="1"/>
    <col min="4867" max="4867" width="11" style="26" customWidth="1"/>
    <col min="4868" max="4868" width="13.28515625" style="26" customWidth="1"/>
    <col min="4869" max="4869" width="13.85546875" style="26" customWidth="1"/>
    <col min="4870" max="4870" width="10.140625" style="26" customWidth="1"/>
    <col min="4871" max="4871" width="9.42578125" style="26" customWidth="1"/>
    <col min="4872" max="4872" width="11.5703125" style="26" customWidth="1"/>
    <col min="4873" max="4873" width="10.85546875" style="26" customWidth="1"/>
    <col min="4874" max="5120" width="12.5703125" style="26"/>
    <col min="5121" max="5121" width="16.28515625" style="26" customWidth="1"/>
    <col min="5122" max="5122" width="11.140625" style="26" customWidth="1"/>
    <col min="5123" max="5123" width="11" style="26" customWidth="1"/>
    <col min="5124" max="5124" width="13.28515625" style="26" customWidth="1"/>
    <col min="5125" max="5125" width="13.85546875" style="26" customWidth="1"/>
    <col min="5126" max="5126" width="10.140625" style="26" customWidth="1"/>
    <col min="5127" max="5127" width="9.42578125" style="26" customWidth="1"/>
    <col min="5128" max="5128" width="11.5703125" style="26" customWidth="1"/>
    <col min="5129" max="5129" width="10.85546875" style="26" customWidth="1"/>
    <col min="5130" max="5376" width="12.5703125" style="26"/>
    <col min="5377" max="5377" width="16.28515625" style="26" customWidth="1"/>
    <col min="5378" max="5378" width="11.140625" style="26" customWidth="1"/>
    <col min="5379" max="5379" width="11" style="26" customWidth="1"/>
    <col min="5380" max="5380" width="13.28515625" style="26" customWidth="1"/>
    <col min="5381" max="5381" width="13.85546875" style="26" customWidth="1"/>
    <col min="5382" max="5382" width="10.140625" style="26" customWidth="1"/>
    <col min="5383" max="5383" width="9.42578125" style="26" customWidth="1"/>
    <col min="5384" max="5384" width="11.5703125" style="26" customWidth="1"/>
    <col min="5385" max="5385" width="10.85546875" style="26" customWidth="1"/>
    <col min="5386" max="5632" width="12.5703125" style="26"/>
    <col min="5633" max="5633" width="16.28515625" style="26" customWidth="1"/>
    <col min="5634" max="5634" width="11.140625" style="26" customWidth="1"/>
    <col min="5635" max="5635" width="11" style="26" customWidth="1"/>
    <col min="5636" max="5636" width="13.28515625" style="26" customWidth="1"/>
    <col min="5637" max="5637" width="13.85546875" style="26" customWidth="1"/>
    <col min="5638" max="5638" width="10.140625" style="26" customWidth="1"/>
    <col min="5639" max="5639" width="9.42578125" style="26" customWidth="1"/>
    <col min="5640" max="5640" width="11.5703125" style="26" customWidth="1"/>
    <col min="5641" max="5641" width="10.85546875" style="26" customWidth="1"/>
    <col min="5642" max="5888" width="12.5703125" style="26"/>
    <col min="5889" max="5889" width="16.28515625" style="26" customWidth="1"/>
    <col min="5890" max="5890" width="11.140625" style="26" customWidth="1"/>
    <col min="5891" max="5891" width="11" style="26" customWidth="1"/>
    <col min="5892" max="5892" width="13.28515625" style="26" customWidth="1"/>
    <col min="5893" max="5893" width="13.85546875" style="26" customWidth="1"/>
    <col min="5894" max="5894" width="10.140625" style="26" customWidth="1"/>
    <col min="5895" max="5895" width="9.42578125" style="26" customWidth="1"/>
    <col min="5896" max="5896" width="11.5703125" style="26" customWidth="1"/>
    <col min="5897" max="5897" width="10.85546875" style="26" customWidth="1"/>
    <col min="5898" max="6144" width="12.5703125" style="26"/>
    <col min="6145" max="6145" width="16.28515625" style="26" customWidth="1"/>
    <col min="6146" max="6146" width="11.140625" style="26" customWidth="1"/>
    <col min="6147" max="6147" width="11" style="26" customWidth="1"/>
    <col min="6148" max="6148" width="13.28515625" style="26" customWidth="1"/>
    <col min="6149" max="6149" width="13.85546875" style="26" customWidth="1"/>
    <col min="6150" max="6150" width="10.140625" style="26" customWidth="1"/>
    <col min="6151" max="6151" width="9.42578125" style="26" customWidth="1"/>
    <col min="6152" max="6152" width="11.5703125" style="26" customWidth="1"/>
    <col min="6153" max="6153" width="10.85546875" style="26" customWidth="1"/>
    <col min="6154" max="6400" width="12.5703125" style="26"/>
    <col min="6401" max="6401" width="16.28515625" style="26" customWidth="1"/>
    <col min="6402" max="6402" width="11.140625" style="26" customWidth="1"/>
    <col min="6403" max="6403" width="11" style="26" customWidth="1"/>
    <col min="6404" max="6404" width="13.28515625" style="26" customWidth="1"/>
    <col min="6405" max="6405" width="13.85546875" style="26" customWidth="1"/>
    <col min="6406" max="6406" width="10.140625" style="26" customWidth="1"/>
    <col min="6407" max="6407" width="9.42578125" style="26" customWidth="1"/>
    <col min="6408" max="6408" width="11.5703125" style="26" customWidth="1"/>
    <col min="6409" max="6409" width="10.85546875" style="26" customWidth="1"/>
    <col min="6410" max="6656" width="12.5703125" style="26"/>
    <col min="6657" max="6657" width="16.28515625" style="26" customWidth="1"/>
    <col min="6658" max="6658" width="11.140625" style="26" customWidth="1"/>
    <col min="6659" max="6659" width="11" style="26" customWidth="1"/>
    <col min="6660" max="6660" width="13.28515625" style="26" customWidth="1"/>
    <col min="6661" max="6661" width="13.85546875" style="26" customWidth="1"/>
    <col min="6662" max="6662" width="10.140625" style="26" customWidth="1"/>
    <col min="6663" max="6663" width="9.42578125" style="26" customWidth="1"/>
    <col min="6664" max="6664" width="11.5703125" style="26" customWidth="1"/>
    <col min="6665" max="6665" width="10.85546875" style="26" customWidth="1"/>
    <col min="6666" max="6912" width="12.5703125" style="26"/>
    <col min="6913" max="6913" width="16.28515625" style="26" customWidth="1"/>
    <col min="6914" max="6914" width="11.140625" style="26" customWidth="1"/>
    <col min="6915" max="6915" width="11" style="26" customWidth="1"/>
    <col min="6916" max="6916" width="13.28515625" style="26" customWidth="1"/>
    <col min="6917" max="6917" width="13.85546875" style="26" customWidth="1"/>
    <col min="6918" max="6918" width="10.140625" style="26" customWidth="1"/>
    <col min="6919" max="6919" width="9.42578125" style="26" customWidth="1"/>
    <col min="6920" max="6920" width="11.5703125" style="26" customWidth="1"/>
    <col min="6921" max="6921" width="10.85546875" style="26" customWidth="1"/>
    <col min="6922" max="7168" width="12.5703125" style="26"/>
    <col min="7169" max="7169" width="16.28515625" style="26" customWidth="1"/>
    <col min="7170" max="7170" width="11.140625" style="26" customWidth="1"/>
    <col min="7171" max="7171" width="11" style="26" customWidth="1"/>
    <col min="7172" max="7172" width="13.28515625" style="26" customWidth="1"/>
    <col min="7173" max="7173" width="13.85546875" style="26" customWidth="1"/>
    <col min="7174" max="7174" width="10.140625" style="26" customWidth="1"/>
    <col min="7175" max="7175" width="9.42578125" style="26" customWidth="1"/>
    <col min="7176" max="7176" width="11.5703125" style="26" customWidth="1"/>
    <col min="7177" max="7177" width="10.85546875" style="26" customWidth="1"/>
    <col min="7178" max="7424" width="12.5703125" style="26"/>
    <col min="7425" max="7425" width="16.28515625" style="26" customWidth="1"/>
    <col min="7426" max="7426" width="11.140625" style="26" customWidth="1"/>
    <col min="7427" max="7427" width="11" style="26" customWidth="1"/>
    <col min="7428" max="7428" width="13.28515625" style="26" customWidth="1"/>
    <col min="7429" max="7429" width="13.85546875" style="26" customWidth="1"/>
    <col min="7430" max="7430" width="10.140625" style="26" customWidth="1"/>
    <col min="7431" max="7431" width="9.42578125" style="26" customWidth="1"/>
    <col min="7432" max="7432" width="11.5703125" style="26" customWidth="1"/>
    <col min="7433" max="7433" width="10.85546875" style="26" customWidth="1"/>
    <col min="7434" max="7680" width="12.5703125" style="26"/>
    <col min="7681" max="7681" width="16.28515625" style="26" customWidth="1"/>
    <col min="7682" max="7682" width="11.140625" style="26" customWidth="1"/>
    <col min="7683" max="7683" width="11" style="26" customWidth="1"/>
    <col min="7684" max="7684" width="13.28515625" style="26" customWidth="1"/>
    <col min="7685" max="7685" width="13.85546875" style="26" customWidth="1"/>
    <col min="7686" max="7686" width="10.140625" style="26" customWidth="1"/>
    <col min="7687" max="7687" width="9.42578125" style="26" customWidth="1"/>
    <col min="7688" max="7688" width="11.5703125" style="26" customWidth="1"/>
    <col min="7689" max="7689" width="10.85546875" style="26" customWidth="1"/>
    <col min="7690" max="7936" width="12.5703125" style="26"/>
    <col min="7937" max="7937" width="16.28515625" style="26" customWidth="1"/>
    <col min="7938" max="7938" width="11.140625" style="26" customWidth="1"/>
    <col min="7939" max="7939" width="11" style="26" customWidth="1"/>
    <col min="7940" max="7940" width="13.28515625" style="26" customWidth="1"/>
    <col min="7941" max="7941" width="13.85546875" style="26" customWidth="1"/>
    <col min="7942" max="7942" width="10.140625" style="26" customWidth="1"/>
    <col min="7943" max="7943" width="9.42578125" style="26" customWidth="1"/>
    <col min="7944" max="7944" width="11.5703125" style="26" customWidth="1"/>
    <col min="7945" max="7945" width="10.85546875" style="26" customWidth="1"/>
    <col min="7946" max="8192" width="12.5703125" style="26"/>
    <col min="8193" max="8193" width="16.28515625" style="26" customWidth="1"/>
    <col min="8194" max="8194" width="11.140625" style="26" customWidth="1"/>
    <col min="8195" max="8195" width="11" style="26" customWidth="1"/>
    <col min="8196" max="8196" width="13.28515625" style="26" customWidth="1"/>
    <col min="8197" max="8197" width="13.85546875" style="26" customWidth="1"/>
    <col min="8198" max="8198" width="10.140625" style="26" customWidth="1"/>
    <col min="8199" max="8199" width="9.42578125" style="26" customWidth="1"/>
    <col min="8200" max="8200" width="11.5703125" style="26" customWidth="1"/>
    <col min="8201" max="8201" width="10.85546875" style="26" customWidth="1"/>
    <col min="8202" max="8448" width="12.5703125" style="26"/>
    <col min="8449" max="8449" width="16.28515625" style="26" customWidth="1"/>
    <col min="8450" max="8450" width="11.140625" style="26" customWidth="1"/>
    <col min="8451" max="8451" width="11" style="26" customWidth="1"/>
    <col min="8452" max="8452" width="13.28515625" style="26" customWidth="1"/>
    <col min="8453" max="8453" width="13.85546875" style="26" customWidth="1"/>
    <col min="8454" max="8454" width="10.140625" style="26" customWidth="1"/>
    <col min="8455" max="8455" width="9.42578125" style="26" customWidth="1"/>
    <col min="8456" max="8456" width="11.5703125" style="26" customWidth="1"/>
    <col min="8457" max="8457" width="10.85546875" style="26" customWidth="1"/>
    <col min="8458" max="8704" width="12.5703125" style="26"/>
    <col min="8705" max="8705" width="16.28515625" style="26" customWidth="1"/>
    <col min="8706" max="8706" width="11.140625" style="26" customWidth="1"/>
    <col min="8707" max="8707" width="11" style="26" customWidth="1"/>
    <col min="8708" max="8708" width="13.28515625" style="26" customWidth="1"/>
    <col min="8709" max="8709" width="13.85546875" style="26" customWidth="1"/>
    <col min="8710" max="8710" width="10.140625" style="26" customWidth="1"/>
    <col min="8711" max="8711" width="9.42578125" style="26" customWidth="1"/>
    <col min="8712" max="8712" width="11.5703125" style="26" customWidth="1"/>
    <col min="8713" max="8713" width="10.85546875" style="26" customWidth="1"/>
    <col min="8714" max="8960" width="12.5703125" style="26"/>
    <col min="8961" max="8961" width="16.28515625" style="26" customWidth="1"/>
    <col min="8962" max="8962" width="11.140625" style="26" customWidth="1"/>
    <col min="8963" max="8963" width="11" style="26" customWidth="1"/>
    <col min="8964" max="8964" width="13.28515625" style="26" customWidth="1"/>
    <col min="8965" max="8965" width="13.85546875" style="26" customWidth="1"/>
    <col min="8966" max="8966" width="10.140625" style="26" customWidth="1"/>
    <col min="8967" max="8967" width="9.42578125" style="26" customWidth="1"/>
    <col min="8968" max="8968" width="11.5703125" style="26" customWidth="1"/>
    <col min="8969" max="8969" width="10.85546875" style="26" customWidth="1"/>
    <col min="8970" max="9216" width="12.5703125" style="26"/>
    <col min="9217" max="9217" width="16.28515625" style="26" customWidth="1"/>
    <col min="9218" max="9218" width="11.140625" style="26" customWidth="1"/>
    <col min="9219" max="9219" width="11" style="26" customWidth="1"/>
    <col min="9220" max="9220" width="13.28515625" style="26" customWidth="1"/>
    <col min="9221" max="9221" width="13.85546875" style="26" customWidth="1"/>
    <col min="9222" max="9222" width="10.140625" style="26" customWidth="1"/>
    <col min="9223" max="9223" width="9.42578125" style="26" customWidth="1"/>
    <col min="9224" max="9224" width="11.5703125" style="26" customWidth="1"/>
    <col min="9225" max="9225" width="10.85546875" style="26" customWidth="1"/>
    <col min="9226" max="9472" width="12.5703125" style="26"/>
    <col min="9473" max="9473" width="16.28515625" style="26" customWidth="1"/>
    <col min="9474" max="9474" width="11.140625" style="26" customWidth="1"/>
    <col min="9475" max="9475" width="11" style="26" customWidth="1"/>
    <col min="9476" max="9476" width="13.28515625" style="26" customWidth="1"/>
    <col min="9477" max="9477" width="13.85546875" style="26" customWidth="1"/>
    <col min="9478" max="9478" width="10.140625" style="26" customWidth="1"/>
    <col min="9479" max="9479" width="9.42578125" style="26" customWidth="1"/>
    <col min="9480" max="9480" width="11.5703125" style="26" customWidth="1"/>
    <col min="9481" max="9481" width="10.85546875" style="26" customWidth="1"/>
    <col min="9482" max="9728" width="12.5703125" style="26"/>
    <col min="9729" max="9729" width="16.28515625" style="26" customWidth="1"/>
    <col min="9730" max="9730" width="11.140625" style="26" customWidth="1"/>
    <col min="9731" max="9731" width="11" style="26" customWidth="1"/>
    <col min="9732" max="9732" width="13.28515625" style="26" customWidth="1"/>
    <col min="9733" max="9733" width="13.85546875" style="26" customWidth="1"/>
    <col min="9734" max="9734" width="10.140625" style="26" customWidth="1"/>
    <col min="9735" max="9735" width="9.42578125" style="26" customWidth="1"/>
    <col min="9736" max="9736" width="11.5703125" style="26" customWidth="1"/>
    <col min="9737" max="9737" width="10.85546875" style="26" customWidth="1"/>
    <col min="9738" max="9984" width="12.5703125" style="26"/>
    <col min="9985" max="9985" width="16.28515625" style="26" customWidth="1"/>
    <col min="9986" max="9986" width="11.140625" style="26" customWidth="1"/>
    <col min="9987" max="9987" width="11" style="26" customWidth="1"/>
    <col min="9988" max="9988" width="13.28515625" style="26" customWidth="1"/>
    <col min="9989" max="9989" width="13.85546875" style="26" customWidth="1"/>
    <col min="9990" max="9990" width="10.140625" style="26" customWidth="1"/>
    <col min="9991" max="9991" width="9.42578125" style="26" customWidth="1"/>
    <col min="9992" max="9992" width="11.5703125" style="26" customWidth="1"/>
    <col min="9993" max="9993" width="10.85546875" style="26" customWidth="1"/>
    <col min="9994" max="10240" width="12.5703125" style="26"/>
    <col min="10241" max="10241" width="16.28515625" style="26" customWidth="1"/>
    <col min="10242" max="10242" width="11.140625" style="26" customWidth="1"/>
    <col min="10243" max="10243" width="11" style="26" customWidth="1"/>
    <col min="10244" max="10244" width="13.28515625" style="26" customWidth="1"/>
    <col min="10245" max="10245" width="13.85546875" style="26" customWidth="1"/>
    <col min="10246" max="10246" width="10.140625" style="26" customWidth="1"/>
    <col min="10247" max="10247" width="9.42578125" style="26" customWidth="1"/>
    <col min="10248" max="10248" width="11.5703125" style="26" customWidth="1"/>
    <col min="10249" max="10249" width="10.85546875" style="26" customWidth="1"/>
    <col min="10250" max="10496" width="12.5703125" style="26"/>
    <col min="10497" max="10497" width="16.28515625" style="26" customWidth="1"/>
    <col min="10498" max="10498" width="11.140625" style="26" customWidth="1"/>
    <col min="10499" max="10499" width="11" style="26" customWidth="1"/>
    <col min="10500" max="10500" width="13.28515625" style="26" customWidth="1"/>
    <col min="10501" max="10501" width="13.85546875" style="26" customWidth="1"/>
    <col min="10502" max="10502" width="10.140625" style="26" customWidth="1"/>
    <col min="10503" max="10503" width="9.42578125" style="26" customWidth="1"/>
    <col min="10504" max="10504" width="11.5703125" style="26" customWidth="1"/>
    <col min="10505" max="10505" width="10.85546875" style="26" customWidth="1"/>
    <col min="10506" max="10752" width="12.5703125" style="26"/>
    <col min="10753" max="10753" width="16.28515625" style="26" customWidth="1"/>
    <col min="10754" max="10754" width="11.140625" style="26" customWidth="1"/>
    <col min="10755" max="10755" width="11" style="26" customWidth="1"/>
    <col min="10756" max="10756" width="13.28515625" style="26" customWidth="1"/>
    <col min="10757" max="10757" width="13.85546875" style="26" customWidth="1"/>
    <col min="10758" max="10758" width="10.140625" style="26" customWidth="1"/>
    <col min="10759" max="10759" width="9.42578125" style="26" customWidth="1"/>
    <col min="10760" max="10760" width="11.5703125" style="26" customWidth="1"/>
    <col min="10761" max="10761" width="10.85546875" style="26" customWidth="1"/>
    <col min="10762" max="11008" width="12.5703125" style="26"/>
    <col min="11009" max="11009" width="16.28515625" style="26" customWidth="1"/>
    <col min="11010" max="11010" width="11.140625" style="26" customWidth="1"/>
    <col min="11011" max="11011" width="11" style="26" customWidth="1"/>
    <col min="11012" max="11012" width="13.28515625" style="26" customWidth="1"/>
    <col min="11013" max="11013" width="13.85546875" style="26" customWidth="1"/>
    <col min="11014" max="11014" width="10.140625" style="26" customWidth="1"/>
    <col min="11015" max="11015" width="9.42578125" style="26" customWidth="1"/>
    <col min="11016" max="11016" width="11.5703125" style="26" customWidth="1"/>
    <col min="11017" max="11017" width="10.85546875" style="26" customWidth="1"/>
    <col min="11018" max="11264" width="12.5703125" style="26"/>
    <col min="11265" max="11265" width="16.28515625" style="26" customWidth="1"/>
    <col min="11266" max="11266" width="11.140625" style="26" customWidth="1"/>
    <col min="11267" max="11267" width="11" style="26" customWidth="1"/>
    <col min="11268" max="11268" width="13.28515625" style="26" customWidth="1"/>
    <col min="11269" max="11269" width="13.85546875" style="26" customWidth="1"/>
    <col min="11270" max="11270" width="10.140625" style="26" customWidth="1"/>
    <col min="11271" max="11271" width="9.42578125" style="26" customWidth="1"/>
    <col min="11272" max="11272" width="11.5703125" style="26" customWidth="1"/>
    <col min="11273" max="11273" width="10.85546875" style="26" customWidth="1"/>
    <col min="11274" max="11520" width="12.5703125" style="26"/>
    <col min="11521" max="11521" width="16.28515625" style="26" customWidth="1"/>
    <col min="11522" max="11522" width="11.140625" style="26" customWidth="1"/>
    <col min="11523" max="11523" width="11" style="26" customWidth="1"/>
    <col min="11524" max="11524" width="13.28515625" style="26" customWidth="1"/>
    <col min="11525" max="11525" width="13.85546875" style="26" customWidth="1"/>
    <col min="11526" max="11526" width="10.140625" style="26" customWidth="1"/>
    <col min="11527" max="11527" width="9.42578125" style="26" customWidth="1"/>
    <col min="11528" max="11528" width="11.5703125" style="26" customWidth="1"/>
    <col min="11529" max="11529" width="10.85546875" style="26" customWidth="1"/>
    <col min="11530" max="11776" width="12.5703125" style="26"/>
    <col min="11777" max="11777" width="16.28515625" style="26" customWidth="1"/>
    <col min="11778" max="11778" width="11.140625" style="26" customWidth="1"/>
    <col min="11779" max="11779" width="11" style="26" customWidth="1"/>
    <col min="11780" max="11780" width="13.28515625" style="26" customWidth="1"/>
    <col min="11781" max="11781" width="13.85546875" style="26" customWidth="1"/>
    <col min="11782" max="11782" width="10.140625" style="26" customWidth="1"/>
    <col min="11783" max="11783" width="9.42578125" style="26" customWidth="1"/>
    <col min="11784" max="11784" width="11.5703125" style="26" customWidth="1"/>
    <col min="11785" max="11785" width="10.85546875" style="26" customWidth="1"/>
    <col min="11786" max="12032" width="12.5703125" style="26"/>
    <col min="12033" max="12033" width="16.28515625" style="26" customWidth="1"/>
    <col min="12034" max="12034" width="11.140625" style="26" customWidth="1"/>
    <col min="12035" max="12035" width="11" style="26" customWidth="1"/>
    <col min="12036" max="12036" width="13.28515625" style="26" customWidth="1"/>
    <col min="12037" max="12037" width="13.85546875" style="26" customWidth="1"/>
    <col min="12038" max="12038" width="10.140625" style="26" customWidth="1"/>
    <col min="12039" max="12039" width="9.42578125" style="26" customWidth="1"/>
    <col min="12040" max="12040" width="11.5703125" style="26" customWidth="1"/>
    <col min="12041" max="12041" width="10.85546875" style="26" customWidth="1"/>
    <col min="12042" max="12288" width="12.5703125" style="26"/>
    <col min="12289" max="12289" width="16.28515625" style="26" customWidth="1"/>
    <col min="12290" max="12290" width="11.140625" style="26" customWidth="1"/>
    <col min="12291" max="12291" width="11" style="26" customWidth="1"/>
    <col min="12292" max="12292" width="13.28515625" style="26" customWidth="1"/>
    <col min="12293" max="12293" width="13.85546875" style="26" customWidth="1"/>
    <col min="12294" max="12294" width="10.140625" style="26" customWidth="1"/>
    <col min="12295" max="12295" width="9.42578125" style="26" customWidth="1"/>
    <col min="12296" max="12296" width="11.5703125" style="26" customWidth="1"/>
    <col min="12297" max="12297" width="10.85546875" style="26" customWidth="1"/>
    <col min="12298" max="12544" width="12.5703125" style="26"/>
    <col min="12545" max="12545" width="16.28515625" style="26" customWidth="1"/>
    <col min="12546" max="12546" width="11.140625" style="26" customWidth="1"/>
    <col min="12547" max="12547" width="11" style="26" customWidth="1"/>
    <col min="12548" max="12548" width="13.28515625" style="26" customWidth="1"/>
    <col min="12549" max="12549" width="13.85546875" style="26" customWidth="1"/>
    <col min="12550" max="12550" width="10.140625" style="26" customWidth="1"/>
    <col min="12551" max="12551" width="9.42578125" style="26" customWidth="1"/>
    <col min="12552" max="12552" width="11.5703125" style="26" customWidth="1"/>
    <col min="12553" max="12553" width="10.85546875" style="26" customWidth="1"/>
    <col min="12554" max="12800" width="12.5703125" style="26"/>
    <col min="12801" max="12801" width="16.28515625" style="26" customWidth="1"/>
    <col min="12802" max="12802" width="11.140625" style="26" customWidth="1"/>
    <col min="12803" max="12803" width="11" style="26" customWidth="1"/>
    <col min="12804" max="12804" width="13.28515625" style="26" customWidth="1"/>
    <col min="12805" max="12805" width="13.85546875" style="26" customWidth="1"/>
    <col min="12806" max="12806" width="10.140625" style="26" customWidth="1"/>
    <col min="12807" max="12807" width="9.42578125" style="26" customWidth="1"/>
    <col min="12808" max="12808" width="11.5703125" style="26" customWidth="1"/>
    <col min="12809" max="12809" width="10.85546875" style="26" customWidth="1"/>
    <col min="12810" max="13056" width="12.5703125" style="26"/>
    <col min="13057" max="13057" width="16.28515625" style="26" customWidth="1"/>
    <col min="13058" max="13058" width="11.140625" style="26" customWidth="1"/>
    <col min="13059" max="13059" width="11" style="26" customWidth="1"/>
    <col min="13060" max="13060" width="13.28515625" style="26" customWidth="1"/>
    <col min="13061" max="13061" width="13.85546875" style="26" customWidth="1"/>
    <col min="13062" max="13062" width="10.140625" style="26" customWidth="1"/>
    <col min="13063" max="13063" width="9.42578125" style="26" customWidth="1"/>
    <col min="13064" max="13064" width="11.5703125" style="26" customWidth="1"/>
    <col min="13065" max="13065" width="10.85546875" style="26" customWidth="1"/>
    <col min="13066" max="13312" width="12.5703125" style="26"/>
    <col min="13313" max="13313" width="16.28515625" style="26" customWidth="1"/>
    <col min="13314" max="13314" width="11.140625" style="26" customWidth="1"/>
    <col min="13315" max="13315" width="11" style="26" customWidth="1"/>
    <col min="13316" max="13316" width="13.28515625" style="26" customWidth="1"/>
    <col min="13317" max="13317" width="13.85546875" style="26" customWidth="1"/>
    <col min="13318" max="13318" width="10.140625" style="26" customWidth="1"/>
    <col min="13319" max="13319" width="9.42578125" style="26" customWidth="1"/>
    <col min="13320" max="13320" width="11.5703125" style="26" customWidth="1"/>
    <col min="13321" max="13321" width="10.85546875" style="26" customWidth="1"/>
    <col min="13322" max="13568" width="12.5703125" style="26"/>
    <col min="13569" max="13569" width="16.28515625" style="26" customWidth="1"/>
    <col min="13570" max="13570" width="11.140625" style="26" customWidth="1"/>
    <col min="13571" max="13571" width="11" style="26" customWidth="1"/>
    <col min="13572" max="13572" width="13.28515625" style="26" customWidth="1"/>
    <col min="13573" max="13573" width="13.85546875" style="26" customWidth="1"/>
    <col min="13574" max="13574" width="10.140625" style="26" customWidth="1"/>
    <col min="13575" max="13575" width="9.42578125" style="26" customWidth="1"/>
    <col min="13576" max="13576" width="11.5703125" style="26" customWidth="1"/>
    <col min="13577" max="13577" width="10.85546875" style="26" customWidth="1"/>
    <col min="13578" max="13824" width="12.5703125" style="26"/>
    <col min="13825" max="13825" width="16.28515625" style="26" customWidth="1"/>
    <col min="13826" max="13826" width="11.140625" style="26" customWidth="1"/>
    <col min="13827" max="13827" width="11" style="26" customWidth="1"/>
    <col min="13828" max="13828" width="13.28515625" style="26" customWidth="1"/>
    <col min="13829" max="13829" width="13.85546875" style="26" customWidth="1"/>
    <col min="13830" max="13830" width="10.140625" style="26" customWidth="1"/>
    <col min="13831" max="13831" width="9.42578125" style="26" customWidth="1"/>
    <col min="13832" max="13832" width="11.5703125" style="26" customWidth="1"/>
    <col min="13833" max="13833" width="10.85546875" style="26" customWidth="1"/>
    <col min="13834" max="14080" width="12.5703125" style="26"/>
    <col min="14081" max="14081" width="16.28515625" style="26" customWidth="1"/>
    <col min="14082" max="14082" width="11.140625" style="26" customWidth="1"/>
    <col min="14083" max="14083" width="11" style="26" customWidth="1"/>
    <col min="14084" max="14084" width="13.28515625" style="26" customWidth="1"/>
    <col min="14085" max="14085" width="13.85546875" style="26" customWidth="1"/>
    <col min="14086" max="14086" width="10.140625" style="26" customWidth="1"/>
    <col min="14087" max="14087" width="9.42578125" style="26" customWidth="1"/>
    <col min="14088" max="14088" width="11.5703125" style="26" customWidth="1"/>
    <col min="14089" max="14089" width="10.85546875" style="26" customWidth="1"/>
    <col min="14090" max="14336" width="12.5703125" style="26"/>
    <col min="14337" max="14337" width="16.28515625" style="26" customWidth="1"/>
    <col min="14338" max="14338" width="11.140625" style="26" customWidth="1"/>
    <col min="14339" max="14339" width="11" style="26" customWidth="1"/>
    <col min="14340" max="14340" width="13.28515625" style="26" customWidth="1"/>
    <col min="14341" max="14341" width="13.85546875" style="26" customWidth="1"/>
    <col min="14342" max="14342" width="10.140625" style="26" customWidth="1"/>
    <col min="14343" max="14343" width="9.42578125" style="26" customWidth="1"/>
    <col min="14344" max="14344" width="11.5703125" style="26" customWidth="1"/>
    <col min="14345" max="14345" width="10.85546875" style="26" customWidth="1"/>
    <col min="14346" max="14592" width="12.5703125" style="26"/>
    <col min="14593" max="14593" width="16.28515625" style="26" customWidth="1"/>
    <col min="14594" max="14594" width="11.140625" style="26" customWidth="1"/>
    <col min="14595" max="14595" width="11" style="26" customWidth="1"/>
    <col min="14596" max="14596" width="13.28515625" style="26" customWidth="1"/>
    <col min="14597" max="14597" width="13.85546875" style="26" customWidth="1"/>
    <col min="14598" max="14598" width="10.140625" style="26" customWidth="1"/>
    <col min="14599" max="14599" width="9.42578125" style="26" customWidth="1"/>
    <col min="14600" max="14600" width="11.5703125" style="26" customWidth="1"/>
    <col min="14601" max="14601" width="10.85546875" style="26" customWidth="1"/>
    <col min="14602" max="14848" width="12.5703125" style="26"/>
    <col min="14849" max="14849" width="16.28515625" style="26" customWidth="1"/>
    <col min="14850" max="14850" width="11.140625" style="26" customWidth="1"/>
    <col min="14851" max="14851" width="11" style="26" customWidth="1"/>
    <col min="14852" max="14852" width="13.28515625" style="26" customWidth="1"/>
    <col min="14853" max="14853" width="13.85546875" style="26" customWidth="1"/>
    <col min="14854" max="14854" width="10.140625" style="26" customWidth="1"/>
    <col min="14855" max="14855" width="9.42578125" style="26" customWidth="1"/>
    <col min="14856" max="14856" width="11.5703125" style="26" customWidth="1"/>
    <col min="14857" max="14857" width="10.85546875" style="26" customWidth="1"/>
    <col min="14858" max="15104" width="12.5703125" style="26"/>
    <col min="15105" max="15105" width="16.28515625" style="26" customWidth="1"/>
    <col min="15106" max="15106" width="11.140625" style="26" customWidth="1"/>
    <col min="15107" max="15107" width="11" style="26" customWidth="1"/>
    <col min="15108" max="15108" width="13.28515625" style="26" customWidth="1"/>
    <col min="15109" max="15109" width="13.85546875" style="26" customWidth="1"/>
    <col min="15110" max="15110" width="10.140625" style="26" customWidth="1"/>
    <col min="15111" max="15111" width="9.42578125" style="26" customWidth="1"/>
    <col min="15112" max="15112" width="11.5703125" style="26" customWidth="1"/>
    <col min="15113" max="15113" width="10.85546875" style="26" customWidth="1"/>
    <col min="15114" max="15360" width="12.5703125" style="26"/>
    <col min="15361" max="15361" width="16.28515625" style="26" customWidth="1"/>
    <col min="15362" max="15362" width="11.140625" style="26" customWidth="1"/>
    <col min="15363" max="15363" width="11" style="26" customWidth="1"/>
    <col min="15364" max="15364" width="13.28515625" style="26" customWidth="1"/>
    <col min="15365" max="15365" width="13.85546875" style="26" customWidth="1"/>
    <col min="15366" max="15366" width="10.140625" style="26" customWidth="1"/>
    <col min="15367" max="15367" width="9.42578125" style="26" customWidth="1"/>
    <col min="15368" max="15368" width="11.5703125" style="26" customWidth="1"/>
    <col min="15369" max="15369" width="10.85546875" style="26" customWidth="1"/>
    <col min="15370" max="15616" width="12.5703125" style="26"/>
    <col min="15617" max="15617" width="16.28515625" style="26" customWidth="1"/>
    <col min="15618" max="15618" width="11.140625" style="26" customWidth="1"/>
    <col min="15619" max="15619" width="11" style="26" customWidth="1"/>
    <col min="15620" max="15620" width="13.28515625" style="26" customWidth="1"/>
    <col min="15621" max="15621" width="13.85546875" style="26" customWidth="1"/>
    <col min="15622" max="15622" width="10.140625" style="26" customWidth="1"/>
    <col min="15623" max="15623" width="9.42578125" style="26" customWidth="1"/>
    <col min="15624" max="15624" width="11.5703125" style="26" customWidth="1"/>
    <col min="15625" max="15625" width="10.85546875" style="26" customWidth="1"/>
    <col min="15626" max="15872" width="12.5703125" style="26"/>
    <col min="15873" max="15873" width="16.28515625" style="26" customWidth="1"/>
    <col min="15874" max="15874" width="11.140625" style="26" customWidth="1"/>
    <col min="15875" max="15875" width="11" style="26" customWidth="1"/>
    <col min="15876" max="15876" width="13.28515625" style="26" customWidth="1"/>
    <col min="15877" max="15877" width="13.85546875" style="26" customWidth="1"/>
    <col min="15878" max="15878" width="10.140625" style="26" customWidth="1"/>
    <col min="15879" max="15879" width="9.42578125" style="26" customWidth="1"/>
    <col min="15880" max="15880" width="11.5703125" style="26" customWidth="1"/>
    <col min="15881" max="15881" width="10.85546875" style="26" customWidth="1"/>
    <col min="15882" max="16128" width="12.5703125" style="26"/>
    <col min="16129" max="16129" width="16.28515625" style="26" customWidth="1"/>
    <col min="16130" max="16130" width="11.140625" style="26" customWidth="1"/>
    <col min="16131" max="16131" width="11" style="26" customWidth="1"/>
    <col min="16132" max="16132" width="13.28515625" style="26" customWidth="1"/>
    <col min="16133" max="16133" width="13.85546875" style="26" customWidth="1"/>
    <col min="16134" max="16134" width="10.140625" style="26" customWidth="1"/>
    <col min="16135" max="16135" width="9.42578125" style="26" customWidth="1"/>
    <col min="16136" max="16136" width="11.5703125" style="26" customWidth="1"/>
    <col min="16137" max="16137" width="10.85546875" style="26" customWidth="1"/>
    <col min="16138" max="16384" width="12.5703125" style="26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ht="18" x14ac:dyDescent="0.25">
      <c r="A2" s="228" t="s">
        <v>142</v>
      </c>
      <c r="B2" s="229"/>
      <c r="C2" s="229"/>
      <c r="D2" s="229"/>
      <c r="E2" s="229"/>
      <c r="F2" s="229"/>
      <c r="G2" s="229"/>
      <c r="H2" s="229"/>
      <c r="I2" s="229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ht="15.75" x14ac:dyDescent="0.25">
      <c r="A4" s="3" t="s">
        <v>120</v>
      </c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 t="s">
        <v>121</v>
      </c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7" t="s">
        <v>218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 t="s">
        <v>219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37" t="s">
        <v>220</v>
      </c>
      <c r="B9" s="37"/>
      <c r="C9" s="37"/>
      <c r="D9" s="37"/>
      <c r="E9" s="37"/>
      <c r="F9" s="37"/>
      <c r="G9" s="37"/>
      <c r="H9" s="37"/>
      <c r="I9" s="37"/>
    </row>
    <row r="10" spans="1:9" x14ac:dyDescent="0.25">
      <c r="A10" s="37" t="s">
        <v>122</v>
      </c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B12" s="37"/>
      <c r="C12" s="37"/>
      <c r="D12" s="37"/>
      <c r="E12" s="37"/>
      <c r="F12" s="37"/>
      <c r="G12" s="37"/>
      <c r="H12" s="37"/>
      <c r="I12" s="37"/>
    </row>
    <row r="13" spans="1:9" ht="16.5" thickBot="1" x14ac:dyDescent="0.3">
      <c r="A13" s="3" t="s">
        <v>42</v>
      </c>
      <c r="B13" s="37"/>
      <c r="C13" s="37"/>
      <c r="E13" s="38" t="s">
        <v>14</v>
      </c>
      <c r="F13" s="70" t="s">
        <v>49</v>
      </c>
      <c r="G13" s="37"/>
      <c r="H13" s="38"/>
      <c r="I13" s="37"/>
    </row>
    <row r="14" spans="1:9" ht="16.5" thickBot="1" x14ac:dyDescent="0.3">
      <c r="A14" s="4" t="s">
        <v>43</v>
      </c>
      <c r="B14" s="37"/>
      <c r="C14" s="37"/>
      <c r="E14" s="116">
        <v>500</v>
      </c>
      <c r="F14" s="26" t="s">
        <v>124</v>
      </c>
      <c r="G14" s="37"/>
      <c r="H14" s="39"/>
      <c r="I14" s="37"/>
    </row>
    <row r="15" spans="1:9" ht="16.5" thickBot="1" x14ac:dyDescent="0.3">
      <c r="A15" s="4" t="s">
        <v>44</v>
      </c>
      <c r="B15" s="37"/>
      <c r="C15" s="37"/>
      <c r="E15" s="116">
        <v>20</v>
      </c>
      <c r="F15" s="26" t="s">
        <v>123</v>
      </c>
      <c r="G15" s="171"/>
      <c r="H15" s="39"/>
      <c r="I15" s="37"/>
    </row>
    <row r="16" spans="1:9" ht="16.5" thickBot="1" x14ac:dyDescent="0.3">
      <c r="A16" s="4" t="s">
        <v>261</v>
      </c>
      <c r="B16" s="37"/>
      <c r="C16" s="37"/>
      <c r="E16" s="118">
        <v>62</v>
      </c>
      <c r="F16" s="26" t="s">
        <v>1</v>
      </c>
      <c r="G16" s="198"/>
      <c r="H16" s="153"/>
      <c r="I16" s="37"/>
    </row>
    <row r="17" spans="1:9" ht="16.5" thickBot="1" x14ac:dyDescent="0.3">
      <c r="A17" s="4" t="s">
        <v>45</v>
      </c>
      <c r="B17" s="37"/>
      <c r="C17" s="37"/>
      <c r="E17" s="116">
        <v>300</v>
      </c>
      <c r="F17" s="26" t="s">
        <v>50</v>
      </c>
      <c r="G17" s="37"/>
      <c r="H17" s="39"/>
      <c r="I17" s="37"/>
    </row>
    <row r="18" spans="1:9" ht="16.5" thickBot="1" x14ac:dyDescent="0.3">
      <c r="A18" s="4" t="s">
        <v>46</v>
      </c>
      <c r="B18" s="37"/>
      <c r="C18" s="37"/>
      <c r="E18" s="118">
        <v>6.7</v>
      </c>
      <c r="F18" s="26" t="s">
        <v>1</v>
      </c>
      <c r="G18" s="209"/>
      <c r="H18" s="199"/>
      <c r="I18" s="37"/>
    </row>
    <row r="19" spans="1:9" ht="16.5" thickBot="1" x14ac:dyDescent="0.3">
      <c r="A19" s="4" t="s">
        <v>353</v>
      </c>
      <c r="B19" s="37"/>
      <c r="C19" s="37"/>
      <c r="E19" s="116">
        <v>1000</v>
      </c>
      <c r="F19" s="26" t="s">
        <v>232</v>
      </c>
      <c r="G19" s="37"/>
      <c r="H19" s="41"/>
      <c r="I19" s="37"/>
    </row>
    <row r="20" spans="1:9" ht="16.5" thickBot="1" x14ac:dyDescent="0.3">
      <c r="A20" s="4" t="s">
        <v>47</v>
      </c>
      <c r="B20" s="42"/>
      <c r="C20" s="42"/>
      <c r="E20" s="118">
        <v>11</v>
      </c>
      <c r="F20" s="26" t="s">
        <v>1</v>
      </c>
      <c r="G20" s="198"/>
      <c r="H20" s="80"/>
      <c r="I20" s="37"/>
    </row>
    <row r="21" spans="1:9" ht="16.5" thickBot="1" x14ac:dyDescent="0.3">
      <c r="A21" s="4" t="s">
        <v>48</v>
      </c>
      <c r="B21" s="42"/>
      <c r="C21" s="42"/>
      <c r="E21" s="117">
        <v>50</v>
      </c>
      <c r="F21" s="26" t="s">
        <v>1</v>
      </c>
      <c r="G21" s="37"/>
      <c r="H21" s="40"/>
      <c r="I21" s="37"/>
    </row>
    <row r="22" spans="1:9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5.75" x14ac:dyDescent="0.25">
      <c r="A23" s="3" t="s">
        <v>52</v>
      </c>
      <c r="B23" s="37"/>
      <c r="C23" s="37"/>
      <c r="D23" s="37"/>
      <c r="E23" s="37"/>
      <c r="F23" s="37"/>
      <c r="G23" s="37"/>
      <c r="H23" s="37"/>
      <c r="I23" s="37"/>
    </row>
    <row r="24" spans="1:9" ht="15.75" x14ac:dyDescent="0.25">
      <c r="A24" s="37"/>
      <c r="B24" s="71" t="s">
        <v>51</v>
      </c>
      <c r="G24" s="38" t="s">
        <v>53</v>
      </c>
    </row>
    <row r="25" spans="1:9" s="99" customFormat="1" ht="15.75" x14ac:dyDescent="0.25">
      <c r="A25" s="37"/>
      <c r="B25" s="71"/>
      <c r="G25" s="38"/>
    </row>
    <row r="26" spans="1:9" s="99" customFormat="1" ht="15.75" x14ac:dyDescent="0.25">
      <c r="A26" s="187" t="s">
        <v>339</v>
      </c>
      <c r="B26" s="188"/>
      <c r="C26" s="189"/>
      <c r="D26" s="189"/>
      <c r="E26" s="189"/>
      <c r="F26" s="189"/>
      <c r="G26" s="190"/>
      <c r="H26" s="189"/>
      <c r="I26" s="189"/>
    </row>
    <row r="27" spans="1:9" s="99" customFormat="1" ht="15.75" x14ac:dyDescent="0.25">
      <c r="A27" s="77"/>
      <c r="B27" s="71"/>
      <c r="G27" s="38"/>
    </row>
    <row r="28" spans="1:9" s="99" customFormat="1" ht="15.75" x14ac:dyDescent="0.25">
      <c r="B28" s="178" t="s">
        <v>323</v>
      </c>
      <c r="G28" s="38"/>
    </row>
    <row r="29" spans="1:9" s="99" customFormat="1" ht="16.5" thickBot="1" x14ac:dyDescent="0.3">
      <c r="B29" s="91"/>
      <c r="C29" s="43" t="s">
        <v>54</v>
      </c>
      <c r="E29" s="176" t="s">
        <v>316</v>
      </c>
      <c r="G29" s="179" t="s">
        <v>317</v>
      </c>
      <c r="I29" s="179" t="s">
        <v>341</v>
      </c>
    </row>
    <row r="30" spans="1:9" s="99" customFormat="1" ht="16.5" thickBot="1" x14ac:dyDescent="0.3">
      <c r="A30" s="116" t="s">
        <v>55</v>
      </c>
      <c r="B30" s="71"/>
      <c r="C30" s="116">
        <v>25000</v>
      </c>
      <c r="D30" s="99" t="s">
        <v>127</v>
      </c>
      <c r="E30" s="193">
        <v>2.5</v>
      </c>
      <c r="F30" s="99" t="s">
        <v>311</v>
      </c>
      <c r="G30" s="116">
        <v>200</v>
      </c>
      <c r="H30" s="99" t="s">
        <v>146</v>
      </c>
      <c r="I30" s="99">
        <f>C30/1000*E30*G30</f>
        <v>12500</v>
      </c>
    </row>
    <row r="31" spans="1:9" s="99" customFormat="1" ht="16.5" thickBot="1" x14ac:dyDescent="0.3">
      <c r="A31" s="116" t="s">
        <v>313</v>
      </c>
      <c r="B31" s="71"/>
      <c r="C31" s="116"/>
      <c r="D31" s="99" t="s">
        <v>127</v>
      </c>
      <c r="E31" s="193"/>
      <c r="F31" s="99" t="s">
        <v>311</v>
      </c>
      <c r="G31" s="116"/>
      <c r="H31" s="99" t="s">
        <v>146</v>
      </c>
      <c r="I31" s="99">
        <f t="shared" ref="I31:I37" si="0">C31/1000*E31*G31</f>
        <v>0</v>
      </c>
    </row>
    <row r="32" spans="1:9" s="99" customFormat="1" ht="16.5" thickBot="1" x14ac:dyDescent="0.3">
      <c r="A32" s="116" t="s">
        <v>314</v>
      </c>
      <c r="B32" s="71"/>
      <c r="C32" s="116"/>
      <c r="D32" s="99" t="s">
        <v>127</v>
      </c>
      <c r="E32" s="193"/>
      <c r="F32" s="99" t="s">
        <v>311</v>
      </c>
      <c r="G32" s="116"/>
      <c r="H32" s="99" t="s">
        <v>146</v>
      </c>
      <c r="I32" s="99">
        <f t="shared" si="0"/>
        <v>0</v>
      </c>
    </row>
    <row r="33" spans="1:11" s="99" customFormat="1" ht="16.5" thickBot="1" x14ac:dyDescent="0.3">
      <c r="A33" s="116" t="s">
        <v>315</v>
      </c>
      <c r="B33" s="71"/>
      <c r="C33" s="116"/>
      <c r="D33" s="99" t="s">
        <v>127</v>
      </c>
      <c r="E33" s="193"/>
      <c r="F33" s="99" t="s">
        <v>311</v>
      </c>
      <c r="G33" s="116"/>
      <c r="H33" s="99" t="s">
        <v>146</v>
      </c>
      <c r="I33" s="99">
        <f t="shared" si="0"/>
        <v>0</v>
      </c>
    </row>
    <row r="34" spans="1:11" s="99" customFormat="1" ht="16.5" thickBot="1" x14ac:dyDescent="0.3">
      <c r="A34" s="116" t="s">
        <v>326</v>
      </c>
      <c r="B34" s="71"/>
      <c r="C34" s="116"/>
      <c r="D34" s="99" t="s">
        <v>127</v>
      </c>
      <c r="E34" s="193"/>
      <c r="F34" s="99" t="s">
        <v>311</v>
      </c>
      <c r="G34" s="116"/>
      <c r="H34" s="99" t="s">
        <v>146</v>
      </c>
      <c r="I34" s="99">
        <f t="shared" si="0"/>
        <v>0</v>
      </c>
    </row>
    <row r="35" spans="1:11" s="99" customFormat="1" ht="16.5" thickBot="1" x14ac:dyDescent="0.3">
      <c r="A35" s="116" t="s">
        <v>326</v>
      </c>
      <c r="B35" s="71"/>
      <c r="C35" s="116"/>
      <c r="D35" s="99" t="s">
        <v>127</v>
      </c>
      <c r="E35" s="193"/>
      <c r="F35" s="99" t="s">
        <v>311</v>
      </c>
      <c r="G35" s="116"/>
      <c r="H35" s="99" t="s">
        <v>146</v>
      </c>
      <c r="I35" s="99">
        <f t="shared" si="0"/>
        <v>0</v>
      </c>
    </row>
    <row r="36" spans="1:11" s="99" customFormat="1" ht="16.5" thickBot="1" x14ac:dyDescent="0.3">
      <c r="A36" s="116" t="s">
        <v>326</v>
      </c>
      <c r="B36" s="71"/>
      <c r="C36" s="116"/>
      <c r="D36" s="99" t="s">
        <v>127</v>
      </c>
      <c r="E36" s="193"/>
      <c r="F36" s="99" t="s">
        <v>311</v>
      </c>
      <c r="G36" s="116"/>
      <c r="H36" s="99" t="s">
        <v>146</v>
      </c>
      <c r="I36" s="99">
        <f t="shared" si="0"/>
        <v>0</v>
      </c>
    </row>
    <row r="37" spans="1:11" s="99" customFormat="1" ht="16.5" thickBot="1" x14ac:dyDescent="0.3">
      <c r="A37" s="116" t="s">
        <v>326</v>
      </c>
      <c r="B37" s="71"/>
      <c r="C37" s="116"/>
      <c r="D37" s="99" t="s">
        <v>127</v>
      </c>
      <c r="E37" s="193"/>
      <c r="F37" s="99" t="s">
        <v>311</v>
      </c>
      <c r="G37" s="116"/>
      <c r="H37" s="99" t="s">
        <v>146</v>
      </c>
      <c r="I37" s="99">
        <f t="shared" si="0"/>
        <v>0</v>
      </c>
    </row>
    <row r="38" spans="1:11" s="99" customFormat="1" ht="15.75" x14ac:dyDescent="0.25">
      <c r="A38" s="77"/>
      <c r="B38" s="71"/>
      <c r="G38" s="38"/>
    </row>
    <row r="39" spans="1:11" s="99" customFormat="1" ht="15.75" x14ac:dyDescent="0.25">
      <c r="A39" s="77"/>
      <c r="B39" s="71"/>
      <c r="D39" s="182" t="s">
        <v>340</v>
      </c>
      <c r="E39" s="182">
        <f>SUM(I30:I37)</f>
        <v>12500</v>
      </c>
      <c r="G39" s="38"/>
    </row>
    <row r="40" spans="1:11" s="99" customFormat="1" ht="15.75" x14ac:dyDescent="0.25">
      <c r="A40" s="77"/>
      <c r="B40" s="71" t="s">
        <v>140</v>
      </c>
      <c r="G40" s="38"/>
    </row>
    <row r="41" spans="1:11" s="99" customFormat="1" ht="16.5" thickBot="1" x14ac:dyDescent="0.3">
      <c r="A41" s="77"/>
      <c r="B41" s="71"/>
      <c r="C41" s="43" t="s">
        <v>54</v>
      </c>
      <c r="E41" s="176" t="s">
        <v>316</v>
      </c>
      <c r="G41" s="179" t="s">
        <v>317</v>
      </c>
      <c r="I41" s="179" t="s">
        <v>341</v>
      </c>
    </row>
    <row r="42" spans="1:11" s="99" customFormat="1" ht="34.5" customHeight="1" thickBot="1" x14ac:dyDescent="0.3">
      <c r="A42" s="181" t="s">
        <v>321</v>
      </c>
      <c r="B42" s="71"/>
      <c r="C42" s="119">
        <v>15000</v>
      </c>
      <c r="D42" s="99" t="s">
        <v>127</v>
      </c>
      <c r="E42" s="193">
        <v>7.4</v>
      </c>
      <c r="F42" s="99" t="s">
        <v>311</v>
      </c>
      <c r="G42" s="116">
        <v>200</v>
      </c>
      <c r="H42" s="99" t="s">
        <v>146</v>
      </c>
      <c r="I42" s="99">
        <f>C42/1000*E42*G42</f>
        <v>22200</v>
      </c>
      <c r="J42" s="185"/>
    </row>
    <row r="43" spans="1:11" s="99" customFormat="1" ht="16.5" thickBot="1" x14ac:dyDescent="0.3">
      <c r="A43" s="116" t="s">
        <v>318</v>
      </c>
      <c r="B43" s="71"/>
      <c r="C43" s="116"/>
      <c r="D43" s="99" t="s">
        <v>127</v>
      </c>
      <c r="E43" s="193"/>
      <c r="F43" s="99" t="s">
        <v>311</v>
      </c>
      <c r="G43" s="116"/>
      <c r="H43" s="99" t="s">
        <v>146</v>
      </c>
      <c r="I43" s="99">
        <f t="shared" ref="I43:I48" si="1">C43/1000*E43*G43</f>
        <v>0</v>
      </c>
    </row>
    <row r="44" spans="1:11" s="99" customFormat="1" ht="32.25" thickBot="1" x14ac:dyDescent="0.3">
      <c r="A44" s="181" t="s">
        <v>319</v>
      </c>
      <c r="B44" s="71"/>
      <c r="C44" s="116"/>
      <c r="D44" s="99" t="s">
        <v>127</v>
      </c>
      <c r="E44" s="193"/>
      <c r="F44" s="99" t="s">
        <v>311</v>
      </c>
      <c r="G44" s="116"/>
      <c r="H44" s="99" t="s">
        <v>146</v>
      </c>
      <c r="I44" s="99">
        <f t="shared" si="1"/>
        <v>0</v>
      </c>
    </row>
    <row r="45" spans="1:11" s="99" customFormat="1" ht="16.5" thickBot="1" x14ac:dyDescent="0.3">
      <c r="A45" s="116" t="s">
        <v>320</v>
      </c>
      <c r="B45" s="71"/>
      <c r="C45" s="116"/>
      <c r="D45" s="99" t="s">
        <v>127</v>
      </c>
      <c r="E45" s="193"/>
      <c r="F45" s="99" t="s">
        <v>311</v>
      </c>
      <c r="G45" s="116"/>
      <c r="H45" s="99" t="s">
        <v>146</v>
      </c>
      <c r="I45" s="99">
        <f t="shared" si="1"/>
        <v>0</v>
      </c>
    </row>
    <row r="46" spans="1:11" s="99" customFormat="1" ht="16.5" thickBot="1" x14ac:dyDescent="0.3">
      <c r="A46" s="116" t="s">
        <v>326</v>
      </c>
      <c r="B46" s="71"/>
      <c r="C46" s="116"/>
      <c r="D46" s="99" t="s">
        <v>127</v>
      </c>
      <c r="E46" s="193"/>
      <c r="F46" s="99" t="s">
        <v>311</v>
      </c>
      <c r="G46" s="116"/>
      <c r="H46" s="99" t="s">
        <v>146</v>
      </c>
      <c r="I46" s="99">
        <f t="shared" si="1"/>
        <v>0</v>
      </c>
      <c r="K46" s="184"/>
    </row>
    <row r="47" spans="1:11" s="99" customFormat="1" ht="16.5" thickBot="1" x14ac:dyDescent="0.3">
      <c r="A47" s="116" t="s">
        <v>326</v>
      </c>
      <c r="B47" s="71"/>
      <c r="C47" s="116"/>
      <c r="D47" s="99" t="s">
        <v>127</v>
      </c>
      <c r="E47" s="193"/>
      <c r="F47" s="99" t="s">
        <v>311</v>
      </c>
      <c r="G47" s="116"/>
      <c r="H47" s="99" t="s">
        <v>146</v>
      </c>
      <c r="I47" s="99">
        <f t="shared" si="1"/>
        <v>0</v>
      </c>
    </row>
    <row r="48" spans="1:11" s="99" customFormat="1" ht="16.5" thickBot="1" x14ac:dyDescent="0.3">
      <c r="A48" s="116" t="s">
        <v>326</v>
      </c>
      <c r="B48" s="71"/>
      <c r="C48" s="116"/>
      <c r="D48" s="99" t="s">
        <v>127</v>
      </c>
      <c r="E48" s="193"/>
      <c r="F48" s="99" t="s">
        <v>311</v>
      </c>
      <c r="G48" s="116"/>
      <c r="H48" s="99" t="s">
        <v>146</v>
      </c>
      <c r="I48" s="99">
        <f t="shared" si="1"/>
        <v>0</v>
      </c>
    </row>
    <row r="49" spans="1:14" s="99" customFormat="1" ht="15.75" x14ac:dyDescent="0.25">
      <c r="A49" s="77"/>
      <c r="B49" s="71"/>
      <c r="G49" s="38"/>
    </row>
    <row r="50" spans="1:14" s="99" customFormat="1" ht="15.75" x14ac:dyDescent="0.25">
      <c r="A50" s="77"/>
      <c r="B50" s="71"/>
      <c r="D50" s="182" t="s">
        <v>294</v>
      </c>
      <c r="E50" s="182">
        <f>SUM(I42:I48)</f>
        <v>22200</v>
      </c>
      <c r="G50" s="38"/>
    </row>
    <row r="51" spans="1:14" s="99" customFormat="1" ht="15.75" x14ac:dyDescent="0.25">
      <c r="A51" s="77"/>
      <c r="B51" s="71" t="s">
        <v>325</v>
      </c>
      <c r="G51" s="38"/>
    </row>
    <row r="52" spans="1:14" s="99" customFormat="1" ht="16.5" thickBot="1" x14ac:dyDescent="0.3">
      <c r="A52" s="77"/>
      <c r="B52" s="71"/>
      <c r="C52" s="43" t="s">
        <v>54</v>
      </c>
      <c r="E52" s="176" t="s">
        <v>316</v>
      </c>
      <c r="G52" s="179" t="s">
        <v>317</v>
      </c>
      <c r="I52" s="179" t="s">
        <v>341</v>
      </c>
    </row>
    <row r="53" spans="1:14" s="99" customFormat="1" ht="32.25" thickBot="1" x14ac:dyDescent="0.3">
      <c r="A53" s="181" t="s">
        <v>327</v>
      </c>
      <c r="B53" s="71"/>
      <c r="C53" s="116">
        <v>42</v>
      </c>
      <c r="D53" s="99" t="s">
        <v>129</v>
      </c>
      <c r="E53" s="193">
        <v>4.3999999999999997E-2</v>
      </c>
      <c r="F53" s="99" t="s">
        <v>311</v>
      </c>
      <c r="G53" s="116">
        <v>200</v>
      </c>
      <c r="H53" s="99" t="s">
        <v>146</v>
      </c>
      <c r="I53" s="99">
        <f>C53*E53*G53</f>
        <v>369.59999999999997</v>
      </c>
      <c r="K53" s="194"/>
      <c r="L53" s="180"/>
    </row>
    <row r="54" spans="1:14" s="99" customFormat="1" ht="32.25" thickBot="1" x14ac:dyDescent="0.3">
      <c r="A54" s="181" t="s">
        <v>328</v>
      </c>
      <c r="B54" s="71"/>
      <c r="C54" s="116">
        <v>155</v>
      </c>
      <c r="D54" s="99" t="s">
        <v>129</v>
      </c>
      <c r="E54" s="193">
        <v>4.3999999999999997E-2</v>
      </c>
      <c r="F54" s="99" t="s">
        <v>311</v>
      </c>
      <c r="G54" s="116">
        <v>200</v>
      </c>
      <c r="H54" s="99" t="s">
        <v>146</v>
      </c>
      <c r="I54" s="99">
        <f t="shared" ref="I54:I59" si="2">C54*E54*G54</f>
        <v>1363.9999999999998</v>
      </c>
      <c r="K54" s="180"/>
      <c r="L54" s="180"/>
    </row>
    <row r="55" spans="1:14" s="99" customFormat="1" ht="16.5" thickBot="1" x14ac:dyDescent="0.3">
      <c r="A55" s="116" t="s">
        <v>326</v>
      </c>
      <c r="B55" s="71"/>
      <c r="C55" s="116"/>
      <c r="D55" s="99" t="s">
        <v>129</v>
      </c>
      <c r="E55" s="193"/>
      <c r="F55" s="99" t="s">
        <v>311</v>
      </c>
      <c r="G55" s="116"/>
      <c r="H55" s="99" t="s">
        <v>146</v>
      </c>
      <c r="I55" s="99">
        <f t="shared" si="2"/>
        <v>0</v>
      </c>
      <c r="K55" s="180"/>
      <c r="L55" s="180"/>
    </row>
    <row r="56" spans="1:14" s="99" customFormat="1" ht="16.5" thickBot="1" x14ac:dyDescent="0.3">
      <c r="A56" s="116" t="s">
        <v>326</v>
      </c>
      <c r="B56" s="71"/>
      <c r="C56" s="116"/>
      <c r="D56" s="99" t="s">
        <v>129</v>
      </c>
      <c r="E56" s="193"/>
      <c r="F56" s="99" t="s">
        <v>311</v>
      </c>
      <c r="G56" s="116"/>
      <c r="H56" s="99" t="s">
        <v>146</v>
      </c>
      <c r="I56" s="99">
        <f t="shared" si="2"/>
        <v>0</v>
      </c>
      <c r="K56" s="180"/>
      <c r="L56" s="180"/>
    </row>
    <row r="57" spans="1:14" s="99" customFormat="1" ht="16.5" thickBot="1" x14ac:dyDescent="0.3">
      <c r="A57" s="116" t="s">
        <v>326</v>
      </c>
      <c r="B57" s="71"/>
      <c r="C57" s="116"/>
      <c r="D57" s="99" t="s">
        <v>129</v>
      </c>
      <c r="E57" s="193"/>
      <c r="F57" s="99" t="s">
        <v>311</v>
      </c>
      <c r="G57" s="116"/>
      <c r="H57" s="99" t="s">
        <v>146</v>
      </c>
      <c r="I57" s="99">
        <f t="shared" si="2"/>
        <v>0</v>
      </c>
      <c r="K57" s="180"/>
      <c r="L57" s="180"/>
    </row>
    <row r="58" spans="1:14" s="99" customFormat="1" ht="16.5" thickBot="1" x14ac:dyDescent="0.3">
      <c r="A58" s="116" t="s">
        <v>326</v>
      </c>
      <c r="B58" s="71"/>
      <c r="C58" s="116"/>
      <c r="D58" s="99" t="s">
        <v>129</v>
      </c>
      <c r="E58" s="193"/>
      <c r="F58" s="99" t="s">
        <v>311</v>
      </c>
      <c r="G58" s="116"/>
      <c r="H58" s="99" t="s">
        <v>146</v>
      </c>
      <c r="I58" s="99">
        <f t="shared" si="2"/>
        <v>0</v>
      </c>
      <c r="K58" s="195"/>
      <c r="L58" s="180"/>
    </row>
    <row r="59" spans="1:14" s="99" customFormat="1" ht="16.5" thickBot="1" x14ac:dyDescent="0.3">
      <c r="A59" s="116" t="s">
        <v>326</v>
      </c>
      <c r="B59" s="71"/>
      <c r="C59" s="116"/>
      <c r="D59" s="99" t="s">
        <v>129</v>
      </c>
      <c r="E59" s="193"/>
      <c r="F59" s="99" t="s">
        <v>311</v>
      </c>
      <c r="G59" s="116"/>
      <c r="H59" s="99" t="s">
        <v>146</v>
      </c>
      <c r="I59" s="99">
        <f t="shared" si="2"/>
        <v>0</v>
      </c>
      <c r="K59" s="180"/>
      <c r="L59" s="180"/>
    </row>
    <row r="60" spans="1:14" s="99" customFormat="1" ht="15.75" x14ac:dyDescent="0.25">
      <c r="A60" s="77"/>
      <c r="B60" s="71"/>
      <c r="G60" s="38"/>
      <c r="K60" s="180"/>
      <c r="L60" s="180"/>
    </row>
    <row r="61" spans="1:14" s="99" customFormat="1" ht="15.75" x14ac:dyDescent="0.25">
      <c r="A61" s="77"/>
      <c r="B61" s="71"/>
      <c r="C61" s="182" t="s">
        <v>342</v>
      </c>
      <c r="E61" s="182">
        <f>SUM(I53:I59)</f>
        <v>1733.5999999999997</v>
      </c>
      <c r="G61" s="38"/>
      <c r="K61" s="180"/>
      <c r="L61" s="180"/>
    </row>
    <row r="62" spans="1:14" s="99" customFormat="1" ht="15.75" x14ac:dyDescent="0.25">
      <c r="A62" s="77"/>
      <c r="B62" s="71" t="s">
        <v>258</v>
      </c>
      <c r="G62" s="38"/>
      <c r="K62" s="180"/>
      <c r="L62" s="180"/>
    </row>
    <row r="63" spans="1:14" s="99" customFormat="1" ht="16.5" thickBot="1" x14ac:dyDescent="0.3">
      <c r="A63" s="77"/>
      <c r="B63" s="71"/>
      <c r="C63" s="43" t="s">
        <v>54</v>
      </c>
      <c r="E63" s="176" t="s">
        <v>316</v>
      </c>
      <c r="G63" s="179" t="s">
        <v>317</v>
      </c>
      <c r="I63" s="179" t="s">
        <v>341</v>
      </c>
      <c r="K63" s="180"/>
      <c r="L63" s="180"/>
    </row>
    <row r="64" spans="1:14" s="99" customFormat="1" ht="16.5" thickBot="1" x14ac:dyDescent="0.3">
      <c r="A64" s="116" t="s">
        <v>326</v>
      </c>
      <c r="B64" s="71"/>
      <c r="C64" s="116">
        <v>15000</v>
      </c>
      <c r="D64" s="99" t="s">
        <v>127</v>
      </c>
      <c r="E64" s="193">
        <v>3.56</v>
      </c>
      <c r="F64" s="99" t="s">
        <v>311</v>
      </c>
      <c r="G64" s="116">
        <v>200</v>
      </c>
      <c r="H64" s="99" t="s">
        <v>146</v>
      </c>
      <c r="I64" s="99">
        <f>C64/1000*E64*G64</f>
        <v>10680</v>
      </c>
      <c r="J64" s="88"/>
      <c r="K64" s="196"/>
      <c r="L64" s="175"/>
      <c r="M64" s="44"/>
      <c r="N64" s="120"/>
    </row>
    <row r="65" spans="1:14" s="99" customFormat="1" ht="16.5" thickBot="1" x14ac:dyDescent="0.3">
      <c r="A65" s="116" t="s">
        <v>326</v>
      </c>
      <c r="B65" s="71"/>
      <c r="C65" s="116"/>
      <c r="D65" s="99" t="s">
        <v>127</v>
      </c>
      <c r="E65" s="193"/>
      <c r="F65" s="99" t="s">
        <v>311</v>
      </c>
      <c r="G65" s="116"/>
      <c r="H65" s="99" t="s">
        <v>146</v>
      </c>
      <c r="I65" s="99">
        <f t="shared" ref="I65:I70" si="3">C65/1000*E65*G65</f>
        <v>0</v>
      </c>
      <c r="J65" s="88"/>
      <c r="K65" s="196"/>
      <c r="L65" s="175"/>
      <c r="M65" s="44"/>
      <c r="N65" s="120"/>
    </row>
    <row r="66" spans="1:14" s="99" customFormat="1" ht="16.5" thickBot="1" x14ac:dyDescent="0.3">
      <c r="A66" s="116" t="s">
        <v>326</v>
      </c>
      <c r="B66" s="71"/>
      <c r="C66" s="116"/>
      <c r="D66" s="99" t="s">
        <v>127</v>
      </c>
      <c r="E66" s="193"/>
      <c r="F66" s="99" t="s">
        <v>311</v>
      </c>
      <c r="G66" s="116"/>
      <c r="H66" s="99" t="s">
        <v>146</v>
      </c>
      <c r="I66" s="99">
        <f t="shared" si="3"/>
        <v>0</v>
      </c>
      <c r="J66" s="88"/>
      <c r="K66" s="197"/>
      <c r="L66" s="175"/>
      <c r="M66" s="44"/>
      <c r="N66" s="120"/>
    </row>
    <row r="67" spans="1:14" s="99" customFormat="1" ht="16.5" thickBot="1" x14ac:dyDescent="0.3">
      <c r="A67" s="116" t="s">
        <v>326</v>
      </c>
      <c r="B67" s="71"/>
      <c r="C67" s="116"/>
      <c r="D67" s="99" t="s">
        <v>127</v>
      </c>
      <c r="E67" s="193"/>
      <c r="F67" s="99" t="s">
        <v>311</v>
      </c>
      <c r="G67" s="116"/>
      <c r="H67" s="99" t="s">
        <v>146</v>
      </c>
      <c r="I67" s="99">
        <f t="shared" si="3"/>
        <v>0</v>
      </c>
      <c r="K67" s="180"/>
      <c r="L67" s="180"/>
    </row>
    <row r="68" spans="1:14" s="99" customFormat="1" ht="16.5" thickBot="1" x14ac:dyDescent="0.3">
      <c r="A68" s="116" t="s">
        <v>326</v>
      </c>
      <c r="B68" s="71"/>
      <c r="C68" s="116"/>
      <c r="D68" s="99" t="s">
        <v>127</v>
      </c>
      <c r="E68" s="193"/>
      <c r="F68" s="99" t="s">
        <v>311</v>
      </c>
      <c r="G68" s="116"/>
      <c r="H68" s="99" t="s">
        <v>146</v>
      </c>
      <c r="I68" s="99">
        <f t="shared" si="3"/>
        <v>0</v>
      </c>
    </row>
    <row r="69" spans="1:14" s="99" customFormat="1" ht="16.5" thickBot="1" x14ac:dyDescent="0.3">
      <c r="A69" s="116" t="s">
        <v>326</v>
      </c>
      <c r="B69" s="71"/>
      <c r="C69" s="116"/>
      <c r="D69" s="99" t="s">
        <v>127</v>
      </c>
      <c r="E69" s="193"/>
      <c r="F69" s="99" t="s">
        <v>311</v>
      </c>
      <c r="G69" s="116"/>
      <c r="H69" s="99" t="s">
        <v>146</v>
      </c>
      <c r="I69" s="99">
        <f t="shared" si="3"/>
        <v>0</v>
      </c>
      <c r="J69" s="186"/>
    </row>
    <row r="70" spans="1:14" s="99" customFormat="1" ht="16.5" thickBot="1" x14ac:dyDescent="0.3">
      <c r="A70" s="116" t="s">
        <v>326</v>
      </c>
      <c r="B70" s="71"/>
      <c r="C70" s="116"/>
      <c r="D70" s="99" t="s">
        <v>127</v>
      </c>
      <c r="E70" s="193"/>
      <c r="F70" s="99" t="s">
        <v>311</v>
      </c>
      <c r="G70" s="116"/>
      <c r="H70" s="99" t="s">
        <v>146</v>
      </c>
      <c r="I70" s="99">
        <f t="shared" si="3"/>
        <v>0</v>
      </c>
    </row>
    <row r="71" spans="1:14" s="99" customFormat="1" ht="15.75" x14ac:dyDescent="0.25">
      <c r="A71" s="77"/>
      <c r="B71" s="71"/>
      <c r="G71" s="38"/>
    </row>
    <row r="72" spans="1:14" s="99" customFormat="1" ht="15.75" x14ac:dyDescent="0.25">
      <c r="A72" s="77"/>
      <c r="B72" s="71"/>
      <c r="D72" s="182" t="s">
        <v>296</v>
      </c>
      <c r="E72" s="182">
        <f>SUM(I64:I70)</f>
        <v>10680</v>
      </c>
      <c r="G72" s="38"/>
    </row>
    <row r="73" spans="1:14" s="99" customFormat="1" ht="15.75" x14ac:dyDescent="0.25">
      <c r="A73" s="77"/>
      <c r="B73" s="71" t="s">
        <v>322</v>
      </c>
      <c r="G73" s="38"/>
    </row>
    <row r="74" spans="1:14" s="99" customFormat="1" ht="16.5" thickBot="1" x14ac:dyDescent="0.3">
      <c r="A74" s="77"/>
      <c r="B74" s="71"/>
      <c r="C74" s="43" t="s">
        <v>54</v>
      </c>
      <c r="E74" s="176" t="s">
        <v>316</v>
      </c>
      <c r="G74" s="179" t="s">
        <v>317</v>
      </c>
      <c r="I74" s="179" t="s">
        <v>341</v>
      </c>
    </row>
    <row r="75" spans="1:14" s="99" customFormat="1" ht="16.5" thickBot="1" x14ac:dyDescent="0.3">
      <c r="A75" s="116" t="s">
        <v>329</v>
      </c>
      <c r="B75" s="71"/>
      <c r="C75" s="116">
        <v>15000</v>
      </c>
      <c r="D75" s="99" t="s">
        <v>127</v>
      </c>
      <c r="E75" s="193">
        <v>6.85</v>
      </c>
      <c r="F75" s="99" t="s">
        <v>311</v>
      </c>
      <c r="G75" s="116">
        <v>200</v>
      </c>
      <c r="H75" s="99" t="s">
        <v>146</v>
      </c>
      <c r="I75" s="99">
        <f t="shared" ref="I75:I81" si="4">C75/1000*E75*G75</f>
        <v>20550</v>
      </c>
      <c r="J75" s="51"/>
      <c r="L75" s="185"/>
    </row>
    <row r="76" spans="1:14" s="99" customFormat="1" ht="16.5" thickBot="1" x14ac:dyDescent="0.3">
      <c r="A76" s="116" t="s">
        <v>330</v>
      </c>
      <c r="B76" s="71"/>
      <c r="C76" s="116"/>
      <c r="D76" s="99" t="s">
        <v>127</v>
      </c>
      <c r="E76" s="193"/>
      <c r="F76" s="99" t="s">
        <v>311</v>
      </c>
      <c r="G76" s="116"/>
      <c r="H76" s="99" t="s">
        <v>146</v>
      </c>
      <c r="I76" s="99">
        <f t="shared" si="4"/>
        <v>0</v>
      </c>
    </row>
    <row r="77" spans="1:14" s="99" customFormat="1" ht="32.25" thickBot="1" x14ac:dyDescent="0.3">
      <c r="A77" s="181" t="s">
        <v>331</v>
      </c>
      <c r="B77" s="71"/>
      <c r="C77" s="116"/>
      <c r="D77" s="99" t="s">
        <v>127</v>
      </c>
      <c r="E77" s="193"/>
      <c r="F77" s="99" t="s">
        <v>311</v>
      </c>
      <c r="G77" s="116"/>
      <c r="H77" s="99" t="s">
        <v>146</v>
      </c>
      <c r="I77" s="99">
        <f t="shared" si="4"/>
        <v>0</v>
      </c>
    </row>
    <row r="78" spans="1:14" s="99" customFormat="1" ht="32.25" thickBot="1" x14ac:dyDescent="0.3">
      <c r="A78" s="181" t="s">
        <v>332</v>
      </c>
      <c r="B78" s="71"/>
      <c r="C78" s="116"/>
      <c r="D78" s="99" t="s">
        <v>127</v>
      </c>
      <c r="E78" s="193"/>
      <c r="F78" s="99" t="s">
        <v>311</v>
      </c>
      <c r="G78" s="116"/>
      <c r="H78" s="99" t="s">
        <v>146</v>
      </c>
      <c r="I78" s="99">
        <f t="shared" si="4"/>
        <v>0</v>
      </c>
    </row>
    <row r="79" spans="1:14" s="99" customFormat="1" ht="16.5" thickBot="1" x14ac:dyDescent="0.3">
      <c r="A79" s="116" t="s">
        <v>333</v>
      </c>
      <c r="B79" s="71"/>
      <c r="C79" s="116"/>
      <c r="D79" s="99" t="s">
        <v>127</v>
      </c>
      <c r="E79" s="193"/>
      <c r="F79" s="99" t="s">
        <v>311</v>
      </c>
      <c r="G79" s="116"/>
      <c r="H79" s="99" t="s">
        <v>146</v>
      </c>
      <c r="I79" s="99">
        <f t="shared" si="4"/>
        <v>0</v>
      </c>
    </row>
    <row r="80" spans="1:14" s="99" customFormat="1" ht="16.5" thickBot="1" x14ac:dyDescent="0.3">
      <c r="A80" s="116" t="s">
        <v>334</v>
      </c>
      <c r="B80" s="71"/>
      <c r="C80" s="116"/>
      <c r="D80" s="99" t="s">
        <v>127</v>
      </c>
      <c r="E80" s="193"/>
      <c r="F80" s="99" t="s">
        <v>311</v>
      </c>
      <c r="G80" s="116"/>
      <c r="H80" s="99" t="s">
        <v>146</v>
      </c>
      <c r="I80" s="99">
        <f t="shared" si="4"/>
        <v>0</v>
      </c>
    </row>
    <row r="81" spans="1:9" s="99" customFormat="1" ht="16.5" thickBot="1" x14ac:dyDescent="0.3">
      <c r="A81" s="116" t="s">
        <v>326</v>
      </c>
      <c r="B81" s="71"/>
      <c r="C81" s="116"/>
      <c r="D81" s="99" t="s">
        <v>127</v>
      </c>
      <c r="E81" s="193"/>
      <c r="F81" s="99" t="s">
        <v>311</v>
      </c>
      <c r="G81" s="116"/>
      <c r="H81" s="99" t="s">
        <v>146</v>
      </c>
      <c r="I81" s="99">
        <f t="shared" si="4"/>
        <v>0</v>
      </c>
    </row>
    <row r="82" spans="1:9" s="99" customFormat="1" ht="15.75" x14ac:dyDescent="0.25">
      <c r="A82" s="77"/>
      <c r="B82" s="71"/>
      <c r="G82" s="38"/>
    </row>
    <row r="83" spans="1:9" s="99" customFormat="1" ht="15.75" x14ac:dyDescent="0.25">
      <c r="A83" s="77"/>
      <c r="B83" s="71"/>
      <c r="D83" s="182" t="s">
        <v>343</v>
      </c>
      <c r="E83" s="182">
        <f>SUM(I75:I81)</f>
        <v>20550</v>
      </c>
      <c r="G83" s="38"/>
    </row>
    <row r="84" spans="1:9" s="99" customFormat="1" ht="15.75" x14ac:dyDescent="0.25">
      <c r="A84" s="77"/>
      <c r="B84" s="71" t="s">
        <v>293</v>
      </c>
      <c r="G84" s="38"/>
    </row>
    <row r="85" spans="1:9" s="99" customFormat="1" ht="16.5" thickBot="1" x14ac:dyDescent="0.3">
      <c r="A85" s="77"/>
      <c r="B85" s="71"/>
      <c r="C85" s="43" t="s">
        <v>54</v>
      </c>
      <c r="E85" s="176" t="s">
        <v>316</v>
      </c>
      <c r="G85" s="179" t="s">
        <v>317</v>
      </c>
      <c r="I85" s="179" t="s">
        <v>341</v>
      </c>
    </row>
    <row r="86" spans="1:9" s="99" customFormat="1" ht="16.5" thickBot="1" x14ac:dyDescent="0.3">
      <c r="A86" s="116" t="s">
        <v>326</v>
      </c>
      <c r="B86" s="71"/>
      <c r="C86" s="116">
        <v>20000</v>
      </c>
      <c r="D86" s="99" t="s">
        <v>127</v>
      </c>
      <c r="E86" s="193">
        <v>1.5</v>
      </c>
      <c r="F86" s="99" t="s">
        <v>311</v>
      </c>
      <c r="G86" s="116">
        <v>200</v>
      </c>
      <c r="H86" s="99" t="s">
        <v>146</v>
      </c>
      <c r="I86" s="99">
        <f t="shared" ref="I86:I92" si="5">C86/1000*E86*G86</f>
        <v>6000</v>
      </c>
    </row>
    <row r="87" spans="1:9" s="99" customFormat="1" ht="16.5" thickBot="1" x14ac:dyDescent="0.3">
      <c r="A87" s="116" t="s">
        <v>326</v>
      </c>
      <c r="B87" s="71"/>
      <c r="C87" s="116"/>
      <c r="D87" s="99" t="s">
        <v>127</v>
      </c>
      <c r="E87" s="193"/>
      <c r="F87" s="99" t="s">
        <v>311</v>
      </c>
      <c r="G87" s="116"/>
      <c r="H87" s="99" t="s">
        <v>146</v>
      </c>
      <c r="I87" s="99">
        <f t="shared" si="5"/>
        <v>0</v>
      </c>
    </row>
    <row r="88" spans="1:9" s="99" customFormat="1" ht="16.5" thickBot="1" x14ac:dyDescent="0.3">
      <c r="A88" s="116" t="s">
        <v>326</v>
      </c>
      <c r="B88" s="71"/>
      <c r="C88" s="116"/>
      <c r="D88" s="99" t="s">
        <v>127</v>
      </c>
      <c r="E88" s="193"/>
      <c r="F88" s="99" t="s">
        <v>311</v>
      </c>
      <c r="G88" s="116"/>
      <c r="H88" s="99" t="s">
        <v>146</v>
      </c>
      <c r="I88" s="99">
        <f t="shared" si="5"/>
        <v>0</v>
      </c>
    </row>
    <row r="89" spans="1:9" s="99" customFormat="1" ht="16.5" thickBot="1" x14ac:dyDescent="0.3">
      <c r="A89" s="116" t="s">
        <v>326</v>
      </c>
      <c r="B89" s="71"/>
      <c r="C89" s="116"/>
      <c r="D89" s="99" t="s">
        <v>127</v>
      </c>
      <c r="E89" s="193"/>
      <c r="F89" s="99" t="s">
        <v>311</v>
      </c>
      <c r="G89" s="116"/>
      <c r="H89" s="99" t="s">
        <v>146</v>
      </c>
      <c r="I89" s="99">
        <f t="shared" si="5"/>
        <v>0</v>
      </c>
    </row>
    <row r="90" spans="1:9" s="99" customFormat="1" ht="16.5" thickBot="1" x14ac:dyDescent="0.3">
      <c r="A90" s="116" t="s">
        <v>326</v>
      </c>
      <c r="B90" s="71"/>
      <c r="C90" s="116"/>
      <c r="D90" s="99" t="s">
        <v>127</v>
      </c>
      <c r="E90" s="193"/>
      <c r="F90" s="99" t="s">
        <v>311</v>
      </c>
      <c r="G90" s="116"/>
      <c r="H90" s="99" t="s">
        <v>146</v>
      </c>
      <c r="I90" s="99">
        <f t="shared" si="5"/>
        <v>0</v>
      </c>
    </row>
    <row r="91" spans="1:9" s="99" customFormat="1" ht="16.5" thickBot="1" x14ac:dyDescent="0.3">
      <c r="A91" s="116" t="s">
        <v>326</v>
      </c>
      <c r="B91" s="71"/>
      <c r="C91" s="116"/>
      <c r="D91" s="99" t="s">
        <v>127</v>
      </c>
      <c r="E91" s="193"/>
      <c r="F91" s="99" t="s">
        <v>311</v>
      </c>
      <c r="G91" s="116"/>
      <c r="H91" s="99" t="s">
        <v>146</v>
      </c>
      <c r="I91" s="99">
        <f t="shared" si="5"/>
        <v>0</v>
      </c>
    </row>
    <row r="92" spans="1:9" s="99" customFormat="1" ht="16.5" thickBot="1" x14ac:dyDescent="0.3">
      <c r="A92" s="116" t="s">
        <v>326</v>
      </c>
      <c r="B92" s="71"/>
      <c r="C92" s="116"/>
      <c r="D92" s="99" t="s">
        <v>127</v>
      </c>
      <c r="E92" s="193"/>
      <c r="F92" s="99" t="s">
        <v>311</v>
      </c>
      <c r="G92" s="116"/>
      <c r="H92" s="99" t="s">
        <v>146</v>
      </c>
      <c r="I92" s="99">
        <f t="shared" si="5"/>
        <v>0</v>
      </c>
    </row>
    <row r="93" spans="1:9" s="99" customFormat="1" ht="15.75" x14ac:dyDescent="0.25">
      <c r="A93" s="77"/>
      <c r="B93" s="71"/>
      <c r="G93" s="38"/>
    </row>
    <row r="94" spans="1:9" s="99" customFormat="1" ht="15.75" x14ac:dyDescent="0.25">
      <c r="A94" s="77"/>
      <c r="B94" s="71"/>
      <c r="C94" s="183" t="s">
        <v>298</v>
      </c>
      <c r="E94" s="182">
        <f>SUM(I86:I92)</f>
        <v>6000</v>
      </c>
      <c r="G94" s="38"/>
    </row>
    <row r="95" spans="1:9" s="99" customFormat="1" ht="15.75" x14ac:dyDescent="0.25">
      <c r="A95" s="77"/>
      <c r="B95" s="71"/>
      <c r="C95" s="183"/>
      <c r="E95" s="182"/>
      <c r="G95" s="38"/>
    </row>
    <row r="96" spans="1:9" s="99" customFormat="1" ht="15.75" x14ac:dyDescent="0.25">
      <c r="A96" s="187" t="s">
        <v>344</v>
      </c>
      <c r="B96" s="188"/>
      <c r="C96" s="189"/>
      <c r="D96" s="189"/>
      <c r="E96" s="189"/>
      <c r="F96" s="189"/>
      <c r="G96" s="190"/>
      <c r="H96" s="189"/>
      <c r="I96" s="189"/>
    </row>
    <row r="97" spans="1:10" s="99" customFormat="1" ht="15.75" x14ac:dyDescent="0.25">
      <c r="A97" s="77"/>
      <c r="B97" s="71"/>
      <c r="G97" s="38"/>
    </row>
    <row r="98" spans="1:10" s="99" customFormat="1" ht="15.75" x14ac:dyDescent="0.25">
      <c r="B98" s="178" t="s">
        <v>323</v>
      </c>
      <c r="G98" s="38"/>
    </row>
    <row r="99" spans="1:10" s="99" customFormat="1" ht="16.5" thickBot="1" x14ac:dyDescent="0.3">
      <c r="B99" s="91"/>
      <c r="C99" s="43" t="s">
        <v>54</v>
      </c>
      <c r="E99" s="176" t="s">
        <v>316</v>
      </c>
      <c r="G99" s="179" t="s">
        <v>317</v>
      </c>
      <c r="I99" s="179" t="s">
        <v>341</v>
      </c>
    </row>
    <row r="100" spans="1:10" s="99" customFormat="1" ht="16.5" thickBot="1" x14ac:dyDescent="0.3">
      <c r="A100" s="116" t="s">
        <v>55</v>
      </c>
      <c r="B100" s="71"/>
      <c r="C100" s="116">
        <v>25000</v>
      </c>
      <c r="D100" s="99" t="s">
        <v>127</v>
      </c>
      <c r="E100" s="193">
        <v>3.2</v>
      </c>
      <c r="F100" s="99" t="s">
        <v>311</v>
      </c>
      <c r="G100" s="116">
        <v>200</v>
      </c>
      <c r="H100" s="99" t="s">
        <v>146</v>
      </c>
      <c r="I100" s="99">
        <f>C100/1000*E100*G100</f>
        <v>16000</v>
      </c>
    </row>
    <row r="101" spans="1:10" s="99" customFormat="1" ht="16.5" thickBot="1" x14ac:dyDescent="0.3">
      <c r="A101" s="116" t="s">
        <v>313</v>
      </c>
      <c r="B101" s="71"/>
      <c r="C101" s="116"/>
      <c r="D101" s="99" t="s">
        <v>127</v>
      </c>
      <c r="E101" s="193"/>
      <c r="F101" s="99" t="s">
        <v>311</v>
      </c>
      <c r="G101" s="116"/>
      <c r="H101" s="99" t="s">
        <v>146</v>
      </c>
      <c r="I101" s="99">
        <f t="shared" ref="I101:I107" si="6">C101/1000*E101*G101</f>
        <v>0</v>
      </c>
    </row>
    <row r="102" spans="1:10" s="99" customFormat="1" ht="16.5" thickBot="1" x14ac:dyDescent="0.3">
      <c r="A102" s="116" t="s">
        <v>314</v>
      </c>
      <c r="B102" s="71"/>
      <c r="C102" s="116"/>
      <c r="D102" s="99" t="s">
        <v>127</v>
      </c>
      <c r="E102" s="193"/>
      <c r="F102" s="99" t="s">
        <v>311</v>
      </c>
      <c r="G102" s="116"/>
      <c r="H102" s="99" t="s">
        <v>146</v>
      </c>
      <c r="I102" s="99">
        <f t="shared" si="6"/>
        <v>0</v>
      </c>
    </row>
    <row r="103" spans="1:10" s="99" customFormat="1" ht="16.5" thickBot="1" x14ac:dyDescent="0.3">
      <c r="A103" s="116" t="s">
        <v>315</v>
      </c>
      <c r="B103" s="71"/>
      <c r="C103" s="116"/>
      <c r="D103" s="99" t="s">
        <v>127</v>
      </c>
      <c r="E103" s="193"/>
      <c r="F103" s="99" t="s">
        <v>311</v>
      </c>
      <c r="G103" s="116"/>
      <c r="H103" s="99" t="s">
        <v>146</v>
      </c>
      <c r="I103" s="99">
        <f t="shared" si="6"/>
        <v>0</v>
      </c>
    </row>
    <row r="104" spans="1:10" s="99" customFormat="1" ht="16.5" thickBot="1" x14ac:dyDescent="0.3">
      <c r="A104" s="116" t="s">
        <v>326</v>
      </c>
      <c r="B104" s="71"/>
      <c r="C104" s="116"/>
      <c r="D104" s="99" t="s">
        <v>127</v>
      </c>
      <c r="E104" s="193"/>
      <c r="F104" s="99" t="s">
        <v>311</v>
      </c>
      <c r="G104" s="116"/>
      <c r="H104" s="99" t="s">
        <v>146</v>
      </c>
      <c r="I104" s="99">
        <f t="shared" si="6"/>
        <v>0</v>
      </c>
    </row>
    <row r="105" spans="1:10" s="99" customFormat="1" ht="16.5" thickBot="1" x14ac:dyDescent="0.3">
      <c r="A105" s="116" t="s">
        <v>326</v>
      </c>
      <c r="B105" s="71"/>
      <c r="C105" s="116"/>
      <c r="D105" s="99" t="s">
        <v>127</v>
      </c>
      <c r="E105" s="193"/>
      <c r="F105" s="99" t="s">
        <v>311</v>
      </c>
      <c r="G105" s="116"/>
      <c r="H105" s="99" t="s">
        <v>146</v>
      </c>
      <c r="I105" s="99">
        <f t="shared" si="6"/>
        <v>0</v>
      </c>
    </row>
    <row r="106" spans="1:10" s="99" customFormat="1" ht="16.5" thickBot="1" x14ac:dyDescent="0.3">
      <c r="A106" s="116" t="s">
        <v>326</v>
      </c>
      <c r="B106" s="71"/>
      <c r="C106" s="116"/>
      <c r="D106" s="99" t="s">
        <v>127</v>
      </c>
      <c r="E106" s="193"/>
      <c r="F106" s="99" t="s">
        <v>311</v>
      </c>
      <c r="G106" s="116"/>
      <c r="H106" s="99" t="s">
        <v>146</v>
      </c>
      <c r="I106" s="99">
        <f t="shared" si="6"/>
        <v>0</v>
      </c>
    </row>
    <row r="107" spans="1:10" s="99" customFormat="1" ht="16.5" thickBot="1" x14ac:dyDescent="0.3">
      <c r="A107" s="116" t="s">
        <v>326</v>
      </c>
      <c r="B107" s="71"/>
      <c r="C107" s="116"/>
      <c r="D107" s="99" t="s">
        <v>127</v>
      </c>
      <c r="E107" s="193"/>
      <c r="F107" s="99" t="s">
        <v>311</v>
      </c>
      <c r="G107" s="116"/>
      <c r="H107" s="99" t="s">
        <v>146</v>
      </c>
      <c r="I107" s="99">
        <f t="shared" si="6"/>
        <v>0</v>
      </c>
    </row>
    <row r="108" spans="1:10" s="99" customFormat="1" ht="15.75" x14ac:dyDescent="0.25">
      <c r="A108" s="77"/>
      <c r="B108" s="71"/>
      <c r="G108" s="38"/>
    </row>
    <row r="109" spans="1:10" s="99" customFormat="1" ht="15.75" x14ac:dyDescent="0.25">
      <c r="A109" s="77"/>
      <c r="B109" s="71"/>
      <c r="D109" s="182" t="s">
        <v>340</v>
      </c>
      <c r="E109" s="182">
        <f>SUM(I100:I107)</f>
        <v>16000</v>
      </c>
      <c r="G109" s="38"/>
    </row>
    <row r="110" spans="1:10" s="99" customFormat="1" ht="15.75" x14ac:dyDescent="0.25">
      <c r="A110" s="77"/>
      <c r="B110" s="71" t="s">
        <v>140</v>
      </c>
      <c r="G110" s="38"/>
    </row>
    <row r="111" spans="1:10" s="99" customFormat="1" ht="16.5" thickBot="1" x14ac:dyDescent="0.3">
      <c r="A111" s="77"/>
      <c r="B111" s="71"/>
      <c r="C111" s="43" t="s">
        <v>54</v>
      </c>
      <c r="E111" s="176" t="s">
        <v>316</v>
      </c>
      <c r="G111" s="179" t="s">
        <v>317</v>
      </c>
      <c r="I111" s="179" t="s">
        <v>341</v>
      </c>
    </row>
    <row r="112" spans="1:10" s="99" customFormat="1" ht="34.5" customHeight="1" thickBot="1" x14ac:dyDescent="0.3">
      <c r="A112" s="181" t="s">
        <v>321</v>
      </c>
      <c r="B112" s="71"/>
      <c r="C112" s="119">
        <v>15000</v>
      </c>
      <c r="D112" s="99" t="s">
        <v>127</v>
      </c>
      <c r="E112" s="193">
        <v>11</v>
      </c>
      <c r="F112" s="99" t="s">
        <v>311</v>
      </c>
      <c r="G112" s="116">
        <v>200</v>
      </c>
      <c r="H112" s="99" t="s">
        <v>146</v>
      </c>
      <c r="I112" s="99">
        <f>C112/1000*E112*G112</f>
        <v>33000</v>
      </c>
      <c r="J112" s="185"/>
    </row>
    <row r="113" spans="1:9" s="99" customFormat="1" ht="16.5" thickBot="1" x14ac:dyDescent="0.3">
      <c r="A113" s="116" t="s">
        <v>318</v>
      </c>
      <c r="B113" s="71"/>
      <c r="C113" s="116"/>
      <c r="D113" s="99" t="s">
        <v>127</v>
      </c>
      <c r="E113" s="193"/>
      <c r="F113" s="99" t="s">
        <v>311</v>
      </c>
      <c r="G113" s="116"/>
      <c r="H113" s="99" t="s">
        <v>146</v>
      </c>
      <c r="I113" s="99">
        <f t="shared" ref="I113:I118" si="7">C113/1000*E113*G113</f>
        <v>0</v>
      </c>
    </row>
    <row r="114" spans="1:9" s="99" customFormat="1" ht="32.25" thickBot="1" x14ac:dyDescent="0.3">
      <c r="A114" s="181" t="s">
        <v>319</v>
      </c>
      <c r="B114" s="71"/>
      <c r="C114" s="116"/>
      <c r="D114" s="99" t="s">
        <v>127</v>
      </c>
      <c r="E114" s="193"/>
      <c r="F114" s="99" t="s">
        <v>311</v>
      </c>
      <c r="G114" s="116"/>
      <c r="H114" s="99" t="s">
        <v>146</v>
      </c>
      <c r="I114" s="99">
        <f t="shared" si="7"/>
        <v>0</v>
      </c>
    </row>
    <row r="115" spans="1:9" s="99" customFormat="1" ht="16.5" thickBot="1" x14ac:dyDescent="0.3">
      <c r="A115" s="116" t="s">
        <v>320</v>
      </c>
      <c r="B115" s="71"/>
      <c r="C115" s="116"/>
      <c r="D115" s="99" t="s">
        <v>127</v>
      </c>
      <c r="E115" s="193"/>
      <c r="F115" s="99" t="s">
        <v>311</v>
      </c>
      <c r="G115" s="116"/>
      <c r="H115" s="99" t="s">
        <v>146</v>
      </c>
      <c r="I115" s="99">
        <f t="shared" si="7"/>
        <v>0</v>
      </c>
    </row>
    <row r="116" spans="1:9" s="99" customFormat="1" ht="16.5" thickBot="1" x14ac:dyDescent="0.3">
      <c r="A116" s="116" t="s">
        <v>326</v>
      </c>
      <c r="B116" s="71"/>
      <c r="C116" s="116"/>
      <c r="D116" s="99" t="s">
        <v>127</v>
      </c>
      <c r="E116" s="193"/>
      <c r="F116" s="99" t="s">
        <v>311</v>
      </c>
      <c r="G116" s="116"/>
      <c r="H116" s="99" t="s">
        <v>146</v>
      </c>
      <c r="I116" s="99">
        <f t="shared" si="7"/>
        <v>0</v>
      </c>
    </row>
    <row r="117" spans="1:9" s="99" customFormat="1" ht="16.5" thickBot="1" x14ac:dyDescent="0.3">
      <c r="A117" s="116" t="s">
        <v>326</v>
      </c>
      <c r="B117" s="71"/>
      <c r="C117" s="116"/>
      <c r="D117" s="99" t="s">
        <v>127</v>
      </c>
      <c r="E117" s="193"/>
      <c r="F117" s="99" t="s">
        <v>311</v>
      </c>
      <c r="G117" s="116"/>
      <c r="H117" s="99" t="s">
        <v>146</v>
      </c>
      <c r="I117" s="99">
        <f t="shared" si="7"/>
        <v>0</v>
      </c>
    </row>
    <row r="118" spans="1:9" s="99" customFormat="1" ht="16.5" thickBot="1" x14ac:dyDescent="0.3">
      <c r="A118" s="116" t="s">
        <v>326</v>
      </c>
      <c r="B118" s="71"/>
      <c r="C118" s="116"/>
      <c r="D118" s="99" t="s">
        <v>127</v>
      </c>
      <c r="E118" s="193"/>
      <c r="F118" s="99" t="s">
        <v>311</v>
      </c>
      <c r="G118" s="116"/>
      <c r="H118" s="99" t="s">
        <v>146</v>
      </c>
      <c r="I118" s="99">
        <f t="shared" si="7"/>
        <v>0</v>
      </c>
    </row>
    <row r="119" spans="1:9" s="99" customFormat="1" ht="15.75" x14ac:dyDescent="0.25">
      <c r="A119" s="77"/>
      <c r="B119" s="71"/>
      <c r="G119" s="38"/>
    </row>
    <row r="120" spans="1:9" s="99" customFormat="1" ht="15.75" x14ac:dyDescent="0.25">
      <c r="A120" s="77"/>
      <c r="B120" s="71"/>
      <c r="D120" s="182" t="s">
        <v>294</v>
      </c>
      <c r="E120" s="182">
        <f>SUM(I112:I118)</f>
        <v>33000</v>
      </c>
      <c r="G120" s="38"/>
    </row>
    <row r="121" spans="1:9" s="99" customFormat="1" ht="15.75" x14ac:dyDescent="0.25">
      <c r="A121" s="77"/>
      <c r="B121" s="71" t="s">
        <v>325</v>
      </c>
      <c r="G121" s="38"/>
    </row>
    <row r="122" spans="1:9" s="99" customFormat="1" ht="16.5" thickBot="1" x14ac:dyDescent="0.3">
      <c r="A122" s="77"/>
      <c r="B122" s="71"/>
      <c r="C122" s="43" t="s">
        <v>54</v>
      </c>
      <c r="E122" s="176" t="s">
        <v>316</v>
      </c>
      <c r="G122" s="179" t="s">
        <v>317</v>
      </c>
      <c r="I122" s="179" t="s">
        <v>341</v>
      </c>
    </row>
    <row r="123" spans="1:9" s="99" customFormat="1" ht="32.25" thickBot="1" x14ac:dyDescent="0.3">
      <c r="A123" s="181" t="s">
        <v>327</v>
      </c>
      <c r="B123" s="71"/>
      <c r="C123" s="116"/>
      <c r="D123" s="99" t="s">
        <v>129</v>
      </c>
      <c r="E123" s="193"/>
      <c r="F123" s="99" t="s">
        <v>311</v>
      </c>
      <c r="G123" s="116"/>
      <c r="H123" s="99" t="s">
        <v>146</v>
      </c>
      <c r="I123" s="99">
        <f>C123*E123*G123</f>
        <v>0</v>
      </c>
    </row>
    <row r="124" spans="1:9" s="99" customFormat="1" ht="32.25" thickBot="1" x14ac:dyDescent="0.3">
      <c r="A124" s="181" t="s">
        <v>328</v>
      </c>
      <c r="B124" s="71"/>
      <c r="C124" s="116"/>
      <c r="D124" s="99" t="s">
        <v>129</v>
      </c>
      <c r="E124" s="193"/>
      <c r="F124" s="99" t="s">
        <v>311</v>
      </c>
      <c r="G124" s="116"/>
      <c r="H124" s="99" t="s">
        <v>146</v>
      </c>
      <c r="I124" s="99">
        <f t="shared" ref="I124:I129" si="8">C124*E124*G124</f>
        <v>0</v>
      </c>
    </row>
    <row r="125" spans="1:9" s="99" customFormat="1" ht="16.5" thickBot="1" x14ac:dyDescent="0.3">
      <c r="A125" s="116" t="s">
        <v>326</v>
      </c>
      <c r="B125" s="71"/>
      <c r="C125" s="116"/>
      <c r="D125" s="99" t="s">
        <v>129</v>
      </c>
      <c r="E125" s="193"/>
      <c r="F125" s="99" t="s">
        <v>311</v>
      </c>
      <c r="G125" s="116"/>
      <c r="H125" s="99" t="s">
        <v>146</v>
      </c>
      <c r="I125" s="99">
        <f t="shared" si="8"/>
        <v>0</v>
      </c>
    </row>
    <row r="126" spans="1:9" s="99" customFormat="1" ht="16.5" thickBot="1" x14ac:dyDescent="0.3">
      <c r="A126" s="116" t="s">
        <v>326</v>
      </c>
      <c r="B126" s="71"/>
      <c r="C126" s="116"/>
      <c r="D126" s="99" t="s">
        <v>129</v>
      </c>
      <c r="E126" s="193"/>
      <c r="F126" s="99" t="s">
        <v>311</v>
      </c>
      <c r="G126" s="116"/>
      <c r="H126" s="99" t="s">
        <v>146</v>
      </c>
      <c r="I126" s="99">
        <f t="shared" si="8"/>
        <v>0</v>
      </c>
    </row>
    <row r="127" spans="1:9" s="99" customFormat="1" ht="16.5" thickBot="1" x14ac:dyDescent="0.3">
      <c r="A127" s="116" t="s">
        <v>326</v>
      </c>
      <c r="B127" s="71"/>
      <c r="C127" s="116"/>
      <c r="D127" s="99" t="s">
        <v>129</v>
      </c>
      <c r="E127" s="193"/>
      <c r="F127" s="99" t="s">
        <v>311</v>
      </c>
      <c r="G127" s="116"/>
      <c r="H127" s="99" t="s">
        <v>146</v>
      </c>
      <c r="I127" s="99">
        <f t="shared" si="8"/>
        <v>0</v>
      </c>
    </row>
    <row r="128" spans="1:9" s="99" customFormat="1" ht="16.5" thickBot="1" x14ac:dyDescent="0.3">
      <c r="A128" s="116" t="s">
        <v>326</v>
      </c>
      <c r="B128" s="71"/>
      <c r="C128" s="116"/>
      <c r="D128" s="99" t="s">
        <v>129</v>
      </c>
      <c r="E128" s="193"/>
      <c r="F128" s="99" t="s">
        <v>311</v>
      </c>
      <c r="G128" s="116"/>
      <c r="H128" s="99" t="s">
        <v>146</v>
      </c>
      <c r="I128" s="99">
        <f t="shared" si="8"/>
        <v>0</v>
      </c>
    </row>
    <row r="129" spans="1:10" s="99" customFormat="1" ht="16.5" thickBot="1" x14ac:dyDescent="0.3">
      <c r="A129" s="116" t="s">
        <v>326</v>
      </c>
      <c r="B129" s="71"/>
      <c r="C129" s="116"/>
      <c r="D129" s="99" t="s">
        <v>129</v>
      </c>
      <c r="E129" s="193"/>
      <c r="F129" s="99" t="s">
        <v>311</v>
      </c>
      <c r="G129" s="116"/>
      <c r="H129" s="99" t="s">
        <v>146</v>
      </c>
      <c r="I129" s="99">
        <f t="shared" si="8"/>
        <v>0</v>
      </c>
    </row>
    <row r="130" spans="1:10" s="99" customFormat="1" ht="15.75" x14ac:dyDescent="0.25">
      <c r="A130" s="77"/>
      <c r="B130" s="71"/>
      <c r="G130" s="38"/>
    </row>
    <row r="131" spans="1:10" s="99" customFormat="1" ht="15.75" x14ac:dyDescent="0.25">
      <c r="A131" s="77"/>
      <c r="B131" s="71"/>
      <c r="C131" s="182" t="s">
        <v>342</v>
      </c>
      <c r="E131" s="182">
        <f>SUM(I123:I129)</f>
        <v>0</v>
      </c>
      <c r="G131" s="38"/>
    </row>
    <row r="132" spans="1:10" s="99" customFormat="1" ht="15.75" x14ac:dyDescent="0.25">
      <c r="A132" s="77"/>
      <c r="B132" s="71" t="s">
        <v>258</v>
      </c>
      <c r="G132" s="38"/>
    </row>
    <row r="133" spans="1:10" s="99" customFormat="1" ht="16.5" thickBot="1" x14ac:dyDescent="0.3">
      <c r="A133" s="77"/>
      <c r="B133" s="71"/>
      <c r="C133" s="43" t="s">
        <v>54</v>
      </c>
      <c r="E133" s="176" t="s">
        <v>316</v>
      </c>
      <c r="G133" s="179" t="s">
        <v>317</v>
      </c>
      <c r="I133" s="179" t="s">
        <v>341</v>
      </c>
    </row>
    <row r="134" spans="1:10" s="99" customFormat="1" ht="16.5" thickBot="1" x14ac:dyDescent="0.3">
      <c r="A134" s="116" t="s">
        <v>326</v>
      </c>
      <c r="B134" s="71"/>
      <c r="C134" s="116">
        <v>15000</v>
      </c>
      <c r="D134" s="99" t="s">
        <v>127</v>
      </c>
      <c r="E134" s="193">
        <v>5.2</v>
      </c>
      <c r="F134" s="99" t="s">
        <v>311</v>
      </c>
      <c r="G134" s="116">
        <v>200</v>
      </c>
      <c r="H134" s="99" t="s">
        <v>146</v>
      </c>
      <c r="I134" s="99">
        <f t="shared" ref="I134:I140" si="9">C134/1000*E134*G134</f>
        <v>15600</v>
      </c>
      <c r="J134" s="184"/>
    </row>
    <row r="135" spans="1:10" s="99" customFormat="1" ht="16.5" thickBot="1" x14ac:dyDescent="0.3">
      <c r="A135" s="116" t="s">
        <v>326</v>
      </c>
      <c r="B135" s="71"/>
      <c r="C135" s="116"/>
      <c r="D135" s="99" t="s">
        <v>127</v>
      </c>
      <c r="E135" s="193"/>
      <c r="F135" s="99" t="s">
        <v>311</v>
      </c>
      <c r="G135" s="116"/>
      <c r="H135" s="99" t="s">
        <v>146</v>
      </c>
      <c r="I135" s="99">
        <f t="shared" si="9"/>
        <v>0</v>
      </c>
    </row>
    <row r="136" spans="1:10" s="99" customFormat="1" ht="16.5" thickBot="1" x14ac:dyDescent="0.3">
      <c r="A136" s="116" t="s">
        <v>326</v>
      </c>
      <c r="B136" s="71"/>
      <c r="C136" s="116"/>
      <c r="D136" s="99" t="s">
        <v>127</v>
      </c>
      <c r="E136" s="193"/>
      <c r="F136" s="99" t="s">
        <v>311</v>
      </c>
      <c r="G136" s="116"/>
      <c r="H136" s="99" t="s">
        <v>146</v>
      </c>
      <c r="I136" s="99">
        <f t="shared" si="9"/>
        <v>0</v>
      </c>
    </row>
    <row r="137" spans="1:10" s="99" customFormat="1" ht="16.5" thickBot="1" x14ac:dyDescent="0.3">
      <c r="A137" s="116" t="s">
        <v>326</v>
      </c>
      <c r="B137" s="71"/>
      <c r="C137" s="116"/>
      <c r="D137" s="99" t="s">
        <v>127</v>
      </c>
      <c r="E137" s="193"/>
      <c r="F137" s="99" t="s">
        <v>311</v>
      </c>
      <c r="G137" s="116"/>
      <c r="H137" s="99" t="s">
        <v>146</v>
      </c>
      <c r="I137" s="99">
        <f t="shared" si="9"/>
        <v>0</v>
      </c>
    </row>
    <row r="138" spans="1:10" s="99" customFormat="1" ht="16.5" thickBot="1" x14ac:dyDescent="0.3">
      <c r="A138" s="116" t="s">
        <v>326</v>
      </c>
      <c r="B138" s="71"/>
      <c r="C138" s="116"/>
      <c r="D138" s="99" t="s">
        <v>127</v>
      </c>
      <c r="E138" s="193"/>
      <c r="F138" s="99" t="s">
        <v>311</v>
      </c>
      <c r="G138" s="116"/>
      <c r="H138" s="99" t="s">
        <v>146</v>
      </c>
      <c r="I138" s="99">
        <f t="shared" si="9"/>
        <v>0</v>
      </c>
    </row>
    <row r="139" spans="1:10" s="99" customFormat="1" ht="16.5" thickBot="1" x14ac:dyDescent="0.3">
      <c r="A139" s="116" t="s">
        <v>326</v>
      </c>
      <c r="B139" s="71"/>
      <c r="C139" s="116"/>
      <c r="D139" s="99" t="s">
        <v>127</v>
      </c>
      <c r="E139" s="193"/>
      <c r="F139" s="99" t="s">
        <v>311</v>
      </c>
      <c r="G139" s="116"/>
      <c r="H139" s="99" t="s">
        <v>146</v>
      </c>
      <c r="I139" s="99">
        <f t="shared" si="9"/>
        <v>0</v>
      </c>
    </row>
    <row r="140" spans="1:10" s="99" customFormat="1" ht="16.5" thickBot="1" x14ac:dyDescent="0.3">
      <c r="A140" s="116" t="s">
        <v>326</v>
      </c>
      <c r="B140" s="71"/>
      <c r="C140" s="116"/>
      <c r="D140" s="99" t="s">
        <v>127</v>
      </c>
      <c r="E140" s="193"/>
      <c r="F140" s="99" t="s">
        <v>311</v>
      </c>
      <c r="G140" s="116"/>
      <c r="H140" s="99" t="s">
        <v>146</v>
      </c>
      <c r="I140" s="99">
        <f t="shared" si="9"/>
        <v>0</v>
      </c>
    </row>
    <row r="141" spans="1:10" s="99" customFormat="1" ht="15.75" x14ac:dyDescent="0.25">
      <c r="A141" s="77"/>
      <c r="B141" s="71"/>
      <c r="G141" s="38"/>
    </row>
    <row r="142" spans="1:10" s="99" customFormat="1" ht="15.75" x14ac:dyDescent="0.25">
      <c r="A142" s="77"/>
      <c r="B142" s="71"/>
      <c r="D142" s="182" t="s">
        <v>296</v>
      </c>
      <c r="E142" s="182">
        <f>SUM(I134:I140)</f>
        <v>15600</v>
      </c>
      <c r="G142" s="38"/>
    </row>
    <row r="143" spans="1:10" s="99" customFormat="1" ht="15.75" x14ac:dyDescent="0.25">
      <c r="A143" s="77"/>
      <c r="B143" s="71" t="s">
        <v>322</v>
      </c>
      <c r="G143" s="38"/>
    </row>
    <row r="144" spans="1:10" s="99" customFormat="1" ht="16.5" thickBot="1" x14ac:dyDescent="0.3">
      <c r="A144" s="77"/>
      <c r="B144" s="71"/>
      <c r="C144" s="43" t="s">
        <v>54</v>
      </c>
      <c r="E144" s="176" t="s">
        <v>316</v>
      </c>
      <c r="G144" s="179" t="s">
        <v>317</v>
      </c>
      <c r="I144" s="179" t="s">
        <v>341</v>
      </c>
    </row>
    <row r="145" spans="1:10" s="99" customFormat="1" ht="16.5" thickBot="1" x14ac:dyDescent="0.3">
      <c r="A145" s="116" t="s">
        <v>329</v>
      </c>
      <c r="B145" s="71"/>
      <c r="C145" s="116">
        <v>15000</v>
      </c>
      <c r="D145" s="99" t="s">
        <v>127</v>
      </c>
      <c r="E145" s="193">
        <v>9.8630136986301373</v>
      </c>
      <c r="F145" s="99" t="s">
        <v>311</v>
      </c>
      <c r="G145" s="116">
        <v>200</v>
      </c>
      <c r="H145" s="99" t="s">
        <v>146</v>
      </c>
      <c r="I145" s="99">
        <f t="shared" ref="I145:I151" si="10">C145/1000*E145*G145</f>
        <v>29589.04109589041</v>
      </c>
    </row>
    <row r="146" spans="1:10" s="99" customFormat="1" ht="16.5" thickBot="1" x14ac:dyDescent="0.3">
      <c r="A146" s="116" t="s">
        <v>330</v>
      </c>
      <c r="B146" s="71"/>
      <c r="C146" s="116"/>
      <c r="D146" s="99" t="s">
        <v>127</v>
      </c>
      <c r="E146" s="193"/>
      <c r="F146" s="99" t="s">
        <v>311</v>
      </c>
      <c r="G146" s="116"/>
      <c r="H146" s="99" t="s">
        <v>146</v>
      </c>
      <c r="I146" s="99">
        <f t="shared" si="10"/>
        <v>0</v>
      </c>
    </row>
    <row r="147" spans="1:10" s="99" customFormat="1" ht="32.25" thickBot="1" x14ac:dyDescent="0.3">
      <c r="A147" s="181" t="s">
        <v>331</v>
      </c>
      <c r="B147" s="71"/>
      <c r="C147" s="116"/>
      <c r="D147" s="99" t="s">
        <v>127</v>
      </c>
      <c r="E147" s="193"/>
      <c r="F147" s="99" t="s">
        <v>311</v>
      </c>
      <c r="G147" s="116"/>
      <c r="H147" s="99" t="s">
        <v>146</v>
      </c>
      <c r="I147" s="99">
        <f t="shared" si="10"/>
        <v>0</v>
      </c>
    </row>
    <row r="148" spans="1:10" s="99" customFormat="1" ht="32.25" thickBot="1" x14ac:dyDescent="0.3">
      <c r="A148" s="181" t="s">
        <v>332</v>
      </c>
      <c r="B148" s="71"/>
      <c r="C148" s="116"/>
      <c r="D148" s="99" t="s">
        <v>127</v>
      </c>
      <c r="E148" s="193"/>
      <c r="F148" s="99" t="s">
        <v>311</v>
      </c>
      <c r="G148" s="116"/>
      <c r="H148" s="99" t="s">
        <v>146</v>
      </c>
      <c r="I148" s="99">
        <f t="shared" si="10"/>
        <v>0</v>
      </c>
    </row>
    <row r="149" spans="1:10" s="99" customFormat="1" ht="16.5" thickBot="1" x14ac:dyDescent="0.3">
      <c r="A149" s="116" t="s">
        <v>333</v>
      </c>
      <c r="B149" s="71"/>
      <c r="C149" s="116"/>
      <c r="D149" s="99" t="s">
        <v>127</v>
      </c>
      <c r="E149" s="193"/>
      <c r="F149" s="99" t="s">
        <v>311</v>
      </c>
      <c r="G149" s="116"/>
      <c r="H149" s="99" t="s">
        <v>146</v>
      </c>
      <c r="I149" s="99">
        <f t="shared" si="10"/>
        <v>0</v>
      </c>
    </row>
    <row r="150" spans="1:10" s="99" customFormat="1" ht="16.5" thickBot="1" x14ac:dyDescent="0.3">
      <c r="A150" s="116" t="s">
        <v>334</v>
      </c>
      <c r="B150" s="71"/>
      <c r="C150" s="116"/>
      <c r="D150" s="99" t="s">
        <v>127</v>
      </c>
      <c r="E150" s="193"/>
      <c r="F150" s="99" t="s">
        <v>311</v>
      </c>
      <c r="G150" s="116"/>
      <c r="H150" s="99" t="s">
        <v>146</v>
      </c>
      <c r="I150" s="99">
        <f t="shared" si="10"/>
        <v>0</v>
      </c>
    </row>
    <row r="151" spans="1:10" s="99" customFormat="1" ht="16.5" thickBot="1" x14ac:dyDescent="0.3">
      <c r="A151" s="116" t="s">
        <v>326</v>
      </c>
      <c r="B151" s="71"/>
      <c r="C151" s="116"/>
      <c r="D151" s="99" t="s">
        <v>127</v>
      </c>
      <c r="E151" s="193"/>
      <c r="F151" s="99" t="s">
        <v>311</v>
      </c>
      <c r="G151" s="116"/>
      <c r="H151" s="99" t="s">
        <v>146</v>
      </c>
      <c r="I151" s="99">
        <f t="shared" si="10"/>
        <v>0</v>
      </c>
    </row>
    <row r="152" spans="1:10" s="99" customFormat="1" ht="15.75" x14ac:dyDescent="0.25">
      <c r="A152" s="77"/>
      <c r="B152" s="71"/>
      <c r="G152" s="38"/>
    </row>
    <row r="153" spans="1:10" s="99" customFormat="1" ht="15.75" x14ac:dyDescent="0.25">
      <c r="A153" s="77"/>
      <c r="B153" s="71"/>
      <c r="D153" s="182" t="s">
        <v>343</v>
      </c>
      <c r="E153" s="182">
        <f>SUM(I145:I151)</f>
        <v>29589.04109589041</v>
      </c>
      <c r="G153" s="38"/>
    </row>
    <row r="154" spans="1:10" s="99" customFormat="1" ht="15.75" x14ac:dyDescent="0.25">
      <c r="A154" s="77"/>
      <c r="B154" s="71" t="s">
        <v>293</v>
      </c>
      <c r="G154" s="38"/>
    </row>
    <row r="155" spans="1:10" s="99" customFormat="1" ht="16.5" thickBot="1" x14ac:dyDescent="0.3">
      <c r="A155" s="77"/>
      <c r="B155" s="71"/>
      <c r="C155" s="43" t="s">
        <v>54</v>
      </c>
      <c r="E155" s="176" t="s">
        <v>316</v>
      </c>
      <c r="G155" s="179" t="s">
        <v>317</v>
      </c>
      <c r="I155" s="179" t="s">
        <v>341</v>
      </c>
    </row>
    <row r="156" spans="1:10" s="99" customFormat="1" ht="16.5" thickBot="1" x14ac:dyDescent="0.3">
      <c r="A156" s="116" t="s">
        <v>326</v>
      </c>
      <c r="B156" s="71"/>
      <c r="C156" s="116">
        <v>20000</v>
      </c>
      <c r="D156" s="99" t="s">
        <v>127</v>
      </c>
      <c r="E156" s="193">
        <v>2.2000000000000002</v>
      </c>
      <c r="F156" s="99" t="s">
        <v>311</v>
      </c>
      <c r="G156" s="116">
        <v>200</v>
      </c>
      <c r="H156" s="99" t="s">
        <v>146</v>
      </c>
      <c r="I156" s="99">
        <f t="shared" ref="I156:I162" si="11">C156/1000*E156*G156</f>
        <v>8800</v>
      </c>
      <c r="J156" s="185"/>
    </row>
    <row r="157" spans="1:10" s="99" customFormat="1" ht="16.5" thickBot="1" x14ac:dyDescent="0.3">
      <c r="A157" s="116" t="s">
        <v>326</v>
      </c>
      <c r="B157" s="71"/>
      <c r="C157" s="116"/>
      <c r="D157" s="99" t="s">
        <v>127</v>
      </c>
      <c r="E157" s="193"/>
      <c r="F157" s="99" t="s">
        <v>311</v>
      </c>
      <c r="G157" s="116"/>
      <c r="H157" s="99" t="s">
        <v>146</v>
      </c>
      <c r="I157" s="99">
        <f t="shared" si="11"/>
        <v>0</v>
      </c>
    </row>
    <row r="158" spans="1:10" s="99" customFormat="1" ht="16.5" thickBot="1" x14ac:dyDescent="0.3">
      <c r="A158" s="116" t="s">
        <v>326</v>
      </c>
      <c r="B158" s="71"/>
      <c r="C158" s="116"/>
      <c r="D158" s="99" t="s">
        <v>127</v>
      </c>
      <c r="E158" s="193"/>
      <c r="F158" s="99" t="s">
        <v>311</v>
      </c>
      <c r="G158" s="116"/>
      <c r="H158" s="99" t="s">
        <v>146</v>
      </c>
      <c r="I158" s="99">
        <f t="shared" si="11"/>
        <v>0</v>
      </c>
    </row>
    <row r="159" spans="1:10" s="99" customFormat="1" ht="16.5" thickBot="1" x14ac:dyDescent="0.3">
      <c r="A159" s="116" t="s">
        <v>326</v>
      </c>
      <c r="B159" s="71"/>
      <c r="C159" s="116"/>
      <c r="D159" s="99" t="s">
        <v>127</v>
      </c>
      <c r="E159" s="193"/>
      <c r="F159" s="99" t="s">
        <v>311</v>
      </c>
      <c r="G159" s="116"/>
      <c r="H159" s="99" t="s">
        <v>146</v>
      </c>
      <c r="I159" s="99">
        <f t="shared" si="11"/>
        <v>0</v>
      </c>
    </row>
    <row r="160" spans="1:10" s="99" customFormat="1" ht="16.5" thickBot="1" x14ac:dyDescent="0.3">
      <c r="A160" s="116" t="s">
        <v>326</v>
      </c>
      <c r="B160" s="71"/>
      <c r="C160" s="116"/>
      <c r="D160" s="99" t="s">
        <v>127</v>
      </c>
      <c r="E160" s="193"/>
      <c r="F160" s="99" t="s">
        <v>311</v>
      </c>
      <c r="G160" s="116"/>
      <c r="H160" s="99" t="s">
        <v>146</v>
      </c>
      <c r="I160" s="99">
        <f t="shared" si="11"/>
        <v>0</v>
      </c>
    </row>
    <row r="161" spans="1:9" s="99" customFormat="1" ht="16.5" thickBot="1" x14ac:dyDescent="0.3">
      <c r="A161" s="116" t="s">
        <v>326</v>
      </c>
      <c r="B161" s="71"/>
      <c r="C161" s="116"/>
      <c r="D161" s="99" t="s">
        <v>127</v>
      </c>
      <c r="E161" s="193"/>
      <c r="F161" s="99" t="s">
        <v>311</v>
      </c>
      <c r="G161" s="116"/>
      <c r="H161" s="99" t="s">
        <v>146</v>
      </c>
      <c r="I161" s="99">
        <f t="shared" si="11"/>
        <v>0</v>
      </c>
    </row>
    <row r="162" spans="1:9" s="99" customFormat="1" ht="16.5" thickBot="1" x14ac:dyDescent="0.3">
      <c r="A162" s="116" t="s">
        <v>326</v>
      </c>
      <c r="B162" s="71"/>
      <c r="C162" s="116"/>
      <c r="D162" s="99" t="s">
        <v>127</v>
      </c>
      <c r="E162" s="193"/>
      <c r="F162" s="99" t="s">
        <v>311</v>
      </c>
      <c r="G162" s="116"/>
      <c r="H162" s="99" t="s">
        <v>146</v>
      </c>
      <c r="I162" s="99">
        <f t="shared" si="11"/>
        <v>0</v>
      </c>
    </row>
    <row r="163" spans="1:9" s="99" customFormat="1" ht="15.75" x14ac:dyDescent="0.25">
      <c r="A163" s="77"/>
      <c r="B163" s="71"/>
      <c r="G163" s="38"/>
    </row>
    <row r="164" spans="1:9" s="99" customFormat="1" ht="15.75" x14ac:dyDescent="0.25">
      <c r="A164" s="77"/>
      <c r="B164" s="71"/>
      <c r="C164" s="183" t="s">
        <v>298</v>
      </c>
      <c r="E164" s="182">
        <f>SUM(I156:I162)</f>
        <v>8800</v>
      </c>
      <c r="G164" s="38"/>
    </row>
    <row r="165" spans="1:9" s="99" customFormat="1" ht="15.75" x14ac:dyDescent="0.25">
      <c r="A165" s="187" t="s">
        <v>346</v>
      </c>
      <c r="B165" s="188"/>
      <c r="C165" s="189"/>
      <c r="D165" s="189"/>
      <c r="E165" s="189"/>
      <c r="F165" s="189"/>
      <c r="G165" s="190"/>
      <c r="H165" s="189"/>
      <c r="I165" s="189"/>
    </row>
    <row r="166" spans="1:9" s="99" customFormat="1" ht="15.75" x14ac:dyDescent="0.25">
      <c r="A166" s="77"/>
      <c r="B166" s="71"/>
      <c r="G166" s="38"/>
    </row>
    <row r="167" spans="1:9" s="99" customFormat="1" ht="15.75" x14ac:dyDescent="0.25">
      <c r="B167" s="178" t="s">
        <v>323</v>
      </c>
      <c r="G167" s="38"/>
    </row>
    <row r="168" spans="1:9" s="99" customFormat="1" ht="16.5" thickBot="1" x14ac:dyDescent="0.3">
      <c r="B168" s="91"/>
      <c r="C168" s="43" t="s">
        <v>54</v>
      </c>
      <c r="E168" s="176" t="s">
        <v>316</v>
      </c>
      <c r="G168" s="179" t="s">
        <v>317</v>
      </c>
      <c r="I168" s="179" t="s">
        <v>341</v>
      </c>
    </row>
    <row r="169" spans="1:9" s="99" customFormat="1" ht="16.5" thickBot="1" x14ac:dyDescent="0.3">
      <c r="A169" s="116" t="s">
        <v>55</v>
      </c>
      <c r="B169" s="71"/>
      <c r="C169" s="116">
        <v>25000</v>
      </c>
      <c r="D169" s="99" t="s">
        <v>127</v>
      </c>
      <c r="E169" s="193">
        <v>2.5</v>
      </c>
      <c r="F169" s="99" t="s">
        <v>311</v>
      </c>
      <c r="G169" s="116">
        <v>200</v>
      </c>
      <c r="H169" s="99" t="s">
        <v>146</v>
      </c>
      <c r="I169" s="99">
        <f>C169/1000*E169*G169</f>
        <v>12500</v>
      </c>
    </row>
    <row r="170" spans="1:9" s="99" customFormat="1" ht="16.5" thickBot="1" x14ac:dyDescent="0.3">
      <c r="A170" s="116" t="s">
        <v>313</v>
      </c>
      <c r="B170" s="71"/>
      <c r="C170" s="116"/>
      <c r="D170" s="99" t="s">
        <v>127</v>
      </c>
      <c r="E170" s="193"/>
      <c r="F170" s="99" t="s">
        <v>311</v>
      </c>
      <c r="G170" s="116"/>
      <c r="H170" s="99" t="s">
        <v>146</v>
      </c>
      <c r="I170" s="99">
        <f t="shared" ref="I170:I176" si="12">C170/1000*E170*G170</f>
        <v>0</v>
      </c>
    </row>
    <row r="171" spans="1:9" s="99" customFormat="1" ht="16.5" thickBot="1" x14ac:dyDescent="0.3">
      <c r="A171" s="116" t="s">
        <v>314</v>
      </c>
      <c r="B171" s="71"/>
      <c r="C171" s="116"/>
      <c r="D171" s="99" t="s">
        <v>127</v>
      </c>
      <c r="E171" s="193"/>
      <c r="F171" s="99" t="s">
        <v>311</v>
      </c>
      <c r="G171" s="116"/>
      <c r="H171" s="99" t="s">
        <v>146</v>
      </c>
      <c r="I171" s="99">
        <f t="shared" si="12"/>
        <v>0</v>
      </c>
    </row>
    <row r="172" spans="1:9" s="99" customFormat="1" ht="16.5" thickBot="1" x14ac:dyDescent="0.3">
      <c r="A172" s="116" t="s">
        <v>315</v>
      </c>
      <c r="B172" s="71"/>
      <c r="C172" s="116"/>
      <c r="D172" s="99" t="s">
        <v>127</v>
      </c>
      <c r="E172" s="193"/>
      <c r="F172" s="99" t="s">
        <v>311</v>
      </c>
      <c r="G172" s="116"/>
      <c r="H172" s="99" t="s">
        <v>146</v>
      </c>
      <c r="I172" s="99">
        <f t="shared" si="12"/>
        <v>0</v>
      </c>
    </row>
    <row r="173" spans="1:9" s="99" customFormat="1" ht="16.5" thickBot="1" x14ac:dyDescent="0.3">
      <c r="A173" s="116" t="s">
        <v>326</v>
      </c>
      <c r="B173" s="71"/>
      <c r="C173" s="116"/>
      <c r="D173" s="99" t="s">
        <v>127</v>
      </c>
      <c r="E173" s="193"/>
      <c r="F173" s="99" t="s">
        <v>311</v>
      </c>
      <c r="G173" s="116"/>
      <c r="H173" s="99" t="s">
        <v>146</v>
      </c>
      <c r="I173" s="99">
        <f t="shared" si="12"/>
        <v>0</v>
      </c>
    </row>
    <row r="174" spans="1:9" s="99" customFormat="1" ht="16.5" thickBot="1" x14ac:dyDescent="0.3">
      <c r="A174" s="116" t="s">
        <v>326</v>
      </c>
      <c r="B174" s="71"/>
      <c r="C174" s="116"/>
      <c r="D174" s="99" t="s">
        <v>127</v>
      </c>
      <c r="E174" s="193"/>
      <c r="F174" s="99" t="s">
        <v>311</v>
      </c>
      <c r="G174" s="116"/>
      <c r="H174" s="99" t="s">
        <v>146</v>
      </c>
      <c r="I174" s="99">
        <f t="shared" si="12"/>
        <v>0</v>
      </c>
    </row>
    <row r="175" spans="1:9" s="99" customFormat="1" ht="16.5" thickBot="1" x14ac:dyDescent="0.3">
      <c r="A175" s="116" t="s">
        <v>326</v>
      </c>
      <c r="B175" s="71"/>
      <c r="C175" s="116"/>
      <c r="D175" s="99" t="s">
        <v>127</v>
      </c>
      <c r="E175" s="193"/>
      <c r="F175" s="99" t="s">
        <v>311</v>
      </c>
      <c r="G175" s="116"/>
      <c r="H175" s="99" t="s">
        <v>146</v>
      </c>
      <c r="I175" s="99">
        <f t="shared" si="12"/>
        <v>0</v>
      </c>
    </row>
    <row r="176" spans="1:9" s="99" customFormat="1" ht="16.5" thickBot="1" x14ac:dyDescent="0.3">
      <c r="A176" s="116" t="s">
        <v>326</v>
      </c>
      <c r="B176" s="71"/>
      <c r="C176" s="116"/>
      <c r="D176" s="99" t="s">
        <v>127</v>
      </c>
      <c r="E176" s="193"/>
      <c r="F176" s="99" t="s">
        <v>311</v>
      </c>
      <c r="G176" s="116"/>
      <c r="H176" s="99" t="s">
        <v>146</v>
      </c>
      <c r="I176" s="99">
        <f t="shared" si="12"/>
        <v>0</v>
      </c>
    </row>
    <row r="177" spans="1:10" s="99" customFormat="1" ht="15.75" x14ac:dyDescent="0.25">
      <c r="A177" s="77"/>
      <c r="B177" s="71"/>
      <c r="G177" s="38"/>
    </row>
    <row r="178" spans="1:10" s="99" customFormat="1" ht="15.75" x14ac:dyDescent="0.25">
      <c r="A178" s="77"/>
      <c r="B178" s="71"/>
      <c r="D178" s="182" t="s">
        <v>340</v>
      </c>
      <c r="E178" s="182">
        <f>SUM(I169:I176)</f>
        <v>12500</v>
      </c>
      <c r="G178" s="38"/>
    </row>
    <row r="179" spans="1:10" s="99" customFormat="1" ht="15.75" x14ac:dyDescent="0.25">
      <c r="A179" s="77"/>
      <c r="B179" s="71" t="s">
        <v>140</v>
      </c>
      <c r="G179" s="38"/>
    </row>
    <row r="180" spans="1:10" s="99" customFormat="1" ht="16.5" thickBot="1" x14ac:dyDescent="0.3">
      <c r="A180" s="77"/>
      <c r="B180" s="71"/>
      <c r="C180" s="43" t="s">
        <v>54</v>
      </c>
      <c r="E180" s="176" t="s">
        <v>316</v>
      </c>
      <c r="G180" s="179" t="s">
        <v>317</v>
      </c>
      <c r="I180" s="179" t="s">
        <v>341</v>
      </c>
    </row>
    <row r="181" spans="1:10" s="99" customFormat="1" ht="34.5" customHeight="1" thickBot="1" x14ac:dyDescent="0.3">
      <c r="A181" s="181" t="s">
        <v>321</v>
      </c>
      <c r="B181" s="71"/>
      <c r="C181" s="119">
        <v>15000</v>
      </c>
      <c r="D181" s="99" t="s">
        <v>127</v>
      </c>
      <c r="E181" s="193">
        <v>3</v>
      </c>
      <c r="F181" s="99" t="s">
        <v>311</v>
      </c>
      <c r="G181" s="116">
        <v>200</v>
      </c>
      <c r="H181" s="99" t="s">
        <v>146</v>
      </c>
      <c r="I181" s="99">
        <f>C181/1000*E181*G181</f>
        <v>9000</v>
      </c>
      <c r="J181" s="185"/>
    </row>
    <row r="182" spans="1:10" s="99" customFormat="1" ht="16.5" thickBot="1" x14ac:dyDescent="0.3">
      <c r="A182" s="116" t="s">
        <v>318</v>
      </c>
      <c r="B182" s="71"/>
      <c r="C182" s="116"/>
      <c r="D182" s="99" t="s">
        <v>127</v>
      </c>
      <c r="E182" s="193"/>
      <c r="F182" s="99" t="s">
        <v>311</v>
      </c>
      <c r="G182" s="116"/>
      <c r="H182" s="99" t="s">
        <v>146</v>
      </c>
      <c r="I182" s="99">
        <f t="shared" ref="I182:I187" si="13">C182/1000*E182*G182</f>
        <v>0</v>
      </c>
    </row>
    <row r="183" spans="1:10" s="99" customFormat="1" ht="32.25" thickBot="1" x14ac:dyDescent="0.3">
      <c r="A183" s="181" t="s">
        <v>319</v>
      </c>
      <c r="B183" s="71"/>
      <c r="C183" s="116"/>
      <c r="D183" s="99" t="s">
        <v>127</v>
      </c>
      <c r="E183" s="193"/>
      <c r="F183" s="99" t="s">
        <v>311</v>
      </c>
      <c r="G183" s="116"/>
      <c r="H183" s="99" t="s">
        <v>146</v>
      </c>
      <c r="I183" s="99">
        <f t="shared" si="13"/>
        <v>0</v>
      </c>
    </row>
    <row r="184" spans="1:10" s="99" customFormat="1" ht="16.5" thickBot="1" x14ac:dyDescent="0.3">
      <c r="A184" s="116" t="s">
        <v>320</v>
      </c>
      <c r="B184" s="71"/>
      <c r="C184" s="116"/>
      <c r="D184" s="99" t="s">
        <v>127</v>
      </c>
      <c r="E184" s="193"/>
      <c r="F184" s="99" t="s">
        <v>311</v>
      </c>
      <c r="G184" s="116"/>
      <c r="H184" s="99" t="s">
        <v>146</v>
      </c>
      <c r="I184" s="99">
        <f t="shared" si="13"/>
        <v>0</v>
      </c>
    </row>
    <row r="185" spans="1:10" s="99" customFormat="1" ht="16.5" thickBot="1" x14ac:dyDescent="0.3">
      <c r="A185" s="116" t="s">
        <v>326</v>
      </c>
      <c r="B185" s="71"/>
      <c r="C185" s="116"/>
      <c r="D185" s="99" t="s">
        <v>127</v>
      </c>
      <c r="E185" s="193"/>
      <c r="F185" s="99" t="s">
        <v>311</v>
      </c>
      <c r="G185" s="116"/>
      <c r="H185" s="99" t="s">
        <v>146</v>
      </c>
      <c r="I185" s="99">
        <f t="shared" si="13"/>
        <v>0</v>
      </c>
    </row>
    <row r="186" spans="1:10" s="99" customFormat="1" ht="16.5" thickBot="1" x14ac:dyDescent="0.3">
      <c r="A186" s="116" t="s">
        <v>326</v>
      </c>
      <c r="B186" s="71"/>
      <c r="C186" s="116"/>
      <c r="D186" s="99" t="s">
        <v>127</v>
      </c>
      <c r="E186" s="193"/>
      <c r="F186" s="99" t="s">
        <v>311</v>
      </c>
      <c r="G186" s="116"/>
      <c r="H186" s="99" t="s">
        <v>146</v>
      </c>
      <c r="I186" s="99">
        <f t="shared" si="13"/>
        <v>0</v>
      </c>
    </row>
    <row r="187" spans="1:10" s="99" customFormat="1" ht="16.5" thickBot="1" x14ac:dyDescent="0.3">
      <c r="A187" s="116" t="s">
        <v>326</v>
      </c>
      <c r="B187" s="71"/>
      <c r="C187" s="116"/>
      <c r="D187" s="99" t="s">
        <v>127</v>
      </c>
      <c r="E187" s="193"/>
      <c r="F187" s="99" t="s">
        <v>311</v>
      </c>
      <c r="G187" s="116"/>
      <c r="H187" s="99" t="s">
        <v>146</v>
      </c>
      <c r="I187" s="99">
        <f t="shared" si="13"/>
        <v>0</v>
      </c>
    </row>
    <row r="188" spans="1:10" s="99" customFormat="1" ht="15.75" x14ac:dyDescent="0.25">
      <c r="A188" s="77"/>
      <c r="B188" s="71"/>
      <c r="G188" s="38"/>
    </row>
    <row r="189" spans="1:10" s="99" customFormat="1" ht="15.75" x14ac:dyDescent="0.25">
      <c r="A189" s="77"/>
      <c r="B189" s="71"/>
      <c r="D189" s="182" t="s">
        <v>294</v>
      </c>
      <c r="E189" s="182">
        <f>SUM(I181:I187)</f>
        <v>9000</v>
      </c>
      <c r="G189" s="38"/>
    </row>
    <row r="190" spans="1:10" s="99" customFormat="1" ht="15.75" x14ac:dyDescent="0.25">
      <c r="A190" s="77"/>
      <c r="B190" s="71" t="s">
        <v>325</v>
      </c>
      <c r="G190" s="38"/>
    </row>
    <row r="191" spans="1:10" s="99" customFormat="1" ht="16.5" thickBot="1" x14ac:dyDescent="0.3">
      <c r="A191" s="77"/>
      <c r="B191" s="71"/>
      <c r="C191" s="43" t="s">
        <v>54</v>
      </c>
      <c r="E191" s="176" t="s">
        <v>316</v>
      </c>
      <c r="G191" s="179" t="s">
        <v>317</v>
      </c>
      <c r="I191" s="179" t="s">
        <v>341</v>
      </c>
    </row>
    <row r="192" spans="1:10" s="99" customFormat="1" ht="32.25" thickBot="1" x14ac:dyDescent="0.3">
      <c r="A192" s="181" t="s">
        <v>327</v>
      </c>
      <c r="B192" s="71"/>
      <c r="C192" s="116"/>
      <c r="D192" s="99" t="s">
        <v>129</v>
      </c>
      <c r="E192" s="193"/>
      <c r="F192" s="99" t="s">
        <v>311</v>
      </c>
      <c r="G192" s="116"/>
      <c r="H192" s="99" t="s">
        <v>146</v>
      </c>
      <c r="I192" s="99">
        <f>C192*E192*G192</f>
        <v>0</v>
      </c>
    </row>
    <row r="193" spans="1:9" s="99" customFormat="1" ht="32.25" thickBot="1" x14ac:dyDescent="0.3">
      <c r="A193" s="181" t="s">
        <v>328</v>
      </c>
      <c r="B193" s="71"/>
      <c r="C193" s="116"/>
      <c r="D193" s="99" t="s">
        <v>129</v>
      </c>
      <c r="E193" s="193"/>
      <c r="F193" s="99" t="s">
        <v>311</v>
      </c>
      <c r="G193" s="116"/>
      <c r="H193" s="99" t="s">
        <v>146</v>
      </c>
      <c r="I193" s="99">
        <f t="shared" ref="I193:I198" si="14">C193*E193*G193</f>
        <v>0</v>
      </c>
    </row>
    <row r="194" spans="1:9" s="99" customFormat="1" ht="16.5" thickBot="1" x14ac:dyDescent="0.3">
      <c r="A194" s="116" t="s">
        <v>326</v>
      </c>
      <c r="B194" s="71"/>
      <c r="C194" s="116"/>
      <c r="D194" s="99" t="s">
        <v>129</v>
      </c>
      <c r="E194" s="193"/>
      <c r="F194" s="99" t="s">
        <v>311</v>
      </c>
      <c r="G194" s="116"/>
      <c r="H194" s="99" t="s">
        <v>146</v>
      </c>
      <c r="I194" s="99">
        <f t="shared" si="14"/>
        <v>0</v>
      </c>
    </row>
    <row r="195" spans="1:9" s="99" customFormat="1" ht="16.5" thickBot="1" x14ac:dyDescent="0.3">
      <c r="A195" s="116" t="s">
        <v>326</v>
      </c>
      <c r="B195" s="71"/>
      <c r="C195" s="116"/>
      <c r="D195" s="99" t="s">
        <v>129</v>
      </c>
      <c r="E195" s="193"/>
      <c r="F195" s="99" t="s">
        <v>311</v>
      </c>
      <c r="G195" s="116"/>
      <c r="H195" s="99" t="s">
        <v>146</v>
      </c>
      <c r="I195" s="99">
        <f t="shared" si="14"/>
        <v>0</v>
      </c>
    </row>
    <row r="196" spans="1:9" s="99" customFormat="1" ht="16.5" thickBot="1" x14ac:dyDescent="0.3">
      <c r="A196" s="116" t="s">
        <v>326</v>
      </c>
      <c r="B196" s="71"/>
      <c r="C196" s="116"/>
      <c r="D196" s="99" t="s">
        <v>129</v>
      </c>
      <c r="E196" s="193"/>
      <c r="F196" s="99" t="s">
        <v>311</v>
      </c>
      <c r="G196" s="116"/>
      <c r="H196" s="99" t="s">
        <v>146</v>
      </c>
      <c r="I196" s="99">
        <f t="shared" si="14"/>
        <v>0</v>
      </c>
    </row>
    <row r="197" spans="1:9" s="99" customFormat="1" ht="16.5" thickBot="1" x14ac:dyDescent="0.3">
      <c r="A197" s="116" t="s">
        <v>326</v>
      </c>
      <c r="B197" s="71"/>
      <c r="C197" s="116"/>
      <c r="D197" s="99" t="s">
        <v>129</v>
      </c>
      <c r="E197" s="193"/>
      <c r="F197" s="99" t="s">
        <v>311</v>
      </c>
      <c r="G197" s="116"/>
      <c r="H197" s="99" t="s">
        <v>146</v>
      </c>
      <c r="I197" s="99">
        <f t="shared" si="14"/>
        <v>0</v>
      </c>
    </row>
    <row r="198" spans="1:9" s="99" customFormat="1" ht="16.5" thickBot="1" x14ac:dyDescent="0.3">
      <c r="A198" s="116" t="s">
        <v>326</v>
      </c>
      <c r="B198" s="71"/>
      <c r="C198" s="116"/>
      <c r="D198" s="99" t="s">
        <v>129</v>
      </c>
      <c r="E198" s="193"/>
      <c r="F198" s="99" t="s">
        <v>311</v>
      </c>
      <c r="G198" s="116"/>
      <c r="H198" s="99" t="s">
        <v>146</v>
      </c>
      <c r="I198" s="99">
        <f t="shared" si="14"/>
        <v>0</v>
      </c>
    </row>
    <row r="199" spans="1:9" s="99" customFormat="1" ht="15.75" x14ac:dyDescent="0.25">
      <c r="A199" s="77"/>
      <c r="B199" s="71"/>
      <c r="G199" s="38"/>
    </row>
    <row r="200" spans="1:9" s="99" customFormat="1" ht="15.75" x14ac:dyDescent="0.25">
      <c r="A200" s="77"/>
      <c r="B200" s="71"/>
      <c r="C200" s="182" t="s">
        <v>342</v>
      </c>
      <c r="E200" s="182">
        <f>SUM(I192:I198)</f>
        <v>0</v>
      </c>
      <c r="G200" s="38"/>
    </row>
    <row r="201" spans="1:9" s="99" customFormat="1" ht="15.75" x14ac:dyDescent="0.25">
      <c r="A201" s="77"/>
      <c r="B201" s="71" t="s">
        <v>258</v>
      </c>
      <c r="G201" s="38"/>
    </row>
    <row r="202" spans="1:9" s="99" customFormat="1" ht="16.5" thickBot="1" x14ac:dyDescent="0.3">
      <c r="A202" s="77"/>
      <c r="B202" s="71"/>
      <c r="C202" s="43" t="s">
        <v>54</v>
      </c>
      <c r="E202" s="176" t="s">
        <v>316</v>
      </c>
      <c r="G202" s="179" t="s">
        <v>317</v>
      </c>
      <c r="I202" s="179" t="s">
        <v>341</v>
      </c>
    </row>
    <row r="203" spans="1:9" s="99" customFormat="1" ht="16.5" thickBot="1" x14ac:dyDescent="0.3">
      <c r="A203" s="116" t="s">
        <v>326</v>
      </c>
      <c r="B203" s="71"/>
      <c r="C203" s="116"/>
      <c r="D203" s="99" t="s">
        <v>127</v>
      </c>
      <c r="E203" s="193"/>
      <c r="F203" s="99" t="s">
        <v>311</v>
      </c>
      <c r="G203" s="116"/>
      <c r="H203" s="99" t="s">
        <v>146</v>
      </c>
      <c r="I203" s="99">
        <f t="shared" ref="I203:I209" si="15">C203/1000*E203*G203</f>
        <v>0</v>
      </c>
    </row>
    <row r="204" spans="1:9" s="99" customFormat="1" ht="16.5" thickBot="1" x14ac:dyDescent="0.3">
      <c r="A204" s="116" t="s">
        <v>326</v>
      </c>
      <c r="B204" s="71"/>
      <c r="C204" s="116"/>
      <c r="D204" s="99" t="s">
        <v>127</v>
      </c>
      <c r="E204" s="193"/>
      <c r="F204" s="99" t="s">
        <v>311</v>
      </c>
      <c r="G204" s="116"/>
      <c r="H204" s="99" t="s">
        <v>146</v>
      </c>
      <c r="I204" s="99">
        <f t="shared" si="15"/>
        <v>0</v>
      </c>
    </row>
    <row r="205" spans="1:9" s="99" customFormat="1" ht="16.5" thickBot="1" x14ac:dyDescent="0.3">
      <c r="A205" s="116" t="s">
        <v>326</v>
      </c>
      <c r="B205" s="71"/>
      <c r="C205" s="116"/>
      <c r="D205" s="99" t="s">
        <v>127</v>
      </c>
      <c r="E205" s="193"/>
      <c r="F205" s="99" t="s">
        <v>311</v>
      </c>
      <c r="G205" s="116"/>
      <c r="H205" s="99" t="s">
        <v>146</v>
      </c>
      <c r="I205" s="99">
        <f t="shared" si="15"/>
        <v>0</v>
      </c>
    </row>
    <row r="206" spans="1:9" s="99" customFormat="1" ht="16.5" thickBot="1" x14ac:dyDescent="0.3">
      <c r="A206" s="116" t="s">
        <v>326</v>
      </c>
      <c r="B206" s="71"/>
      <c r="C206" s="116"/>
      <c r="D206" s="99" t="s">
        <v>127</v>
      </c>
      <c r="E206" s="193"/>
      <c r="F206" s="99" t="s">
        <v>311</v>
      </c>
      <c r="G206" s="116"/>
      <c r="H206" s="99" t="s">
        <v>146</v>
      </c>
      <c r="I206" s="99">
        <f t="shared" si="15"/>
        <v>0</v>
      </c>
    </row>
    <row r="207" spans="1:9" s="99" customFormat="1" ht="16.5" thickBot="1" x14ac:dyDescent="0.3">
      <c r="A207" s="116" t="s">
        <v>326</v>
      </c>
      <c r="B207" s="71"/>
      <c r="C207" s="116"/>
      <c r="D207" s="99" t="s">
        <v>127</v>
      </c>
      <c r="E207" s="193"/>
      <c r="F207" s="99" t="s">
        <v>311</v>
      </c>
      <c r="G207" s="116"/>
      <c r="H207" s="99" t="s">
        <v>146</v>
      </c>
      <c r="I207" s="99">
        <f t="shared" si="15"/>
        <v>0</v>
      </c>
    </row>
    <row r="208" spans="1:9" s="99" customFormat="1" ht="16.5" thickBot="1" x14ac:dyDescent="0.3">
      <c r="A208" s="116" t="s">
        <v>326</v>
      </c>
      <c r="B208" s="71"/>
      <c r="C208" s="116"/>
      <c r="D208" s="99" t="s">
        <v>127</v>
      </c>
      <c r="E208" s="193"/>
      <c r="F208" s="99" t="s">
        <v>311</v>
      </c>
      <c r="G208" s="116"/>
      <c r="H208" s="99" t="s">
        <v>146</v>
      </c>
      <c r="I208" s="99">
        <f t="shared" si="15"/>
        <v>0</v>
      </c>
    </row>
    <row r="209" spans="1:9" s="99" customFormat="1" ht="16.5" thickBot="1" x14ac:dyDescent="0.3">
      <c r="A209" s="116" t="s">
        <v>326</v>
      </c>
      <c r="B209" s="71"/>
      <c r="C209" s="116"/>
      <c r="D209" s="99" t="s">
        <v>127</v>
      </c>
      <c r="E209" s="193"/>
      <c r="F209" s="99" t="s">
        <v>311</v>
      </c>
      <c r="G209" s="116"/>
      <c r="H209" s="99" t="s">
        <v>146</v>
      </c>
      <c r="I209" s="99">
        <f t="shared" si="15"/>
        <v>0</v>
      </c>
    </row>
    <row r="210" spans="1:9" s="99" customFormat="1" ht="15.75" x14ac:dyDescent="0.25">
      <c r="A210" s="77"/>
      <c r="B210" s="71"/>
      <c r="G210" s="38"/>
    </row>
    <row r="211" spans="1:9" s="99" customFormat="1" ht="15.75" x14ac:dyDescent="0.25">
      <c r="A211" s="77"/>
      <c r="B211" s="71"/>
      <c r="D211" s="182" t="s">
        <v>296</v>
      </c>
      <c r="E211" s="182">
        <f>SUM(I203:I209)</f>
        <v>0</v>
      </c>
      <c r="G211" s="38"/>
    </row>
    <row r="212" spans="1:9" s="99" customFormat="1" ht="15.75" x14ac:dyDescent="0.25">
      <c r="A212" s="77"/>
      <c r="B212" s="71" t="s">
        <v>322</v>
      </c>
      <c r="G212" s="38"/>
    </row>
    <row r="213" spans="1:9" s="99" customFormat="1" ht="16.5" thickBot="1" x14ac:dyDescent="0.3">
      <c r="A213" s="77"/>
      <c r="B213" s="71"/>
      <c r="C213" s="43" t="s">
        <v>54</v>
      </c>
      <c r="E213" s="176" t="s">
        <v>316</v>
      </c>
      <c r="G213" s="179" t="s">
        <v>317</v>
      </c>
      <c r="I213" s="179" t="s">
        <v>341</v>
      </c>
    </row>
    <row r="214" spans="1:9" s="99" customFormat="1" ht="16.5" thickBot="1" x14ac:dyDescent="0.3">
      <c r="A214" s="116" t="s">
        <v>329</v>
      </c>
      <c r="B214" s="71"/>
      <c r="C214" s="116"/>
      <c r="D214" s="99" t="s">
        <v>127</v>
      </c>
      <c r="E214" s="193"/>
      <c r="F214" s="99" t="s">
        <v>311</v>
      </c>
      <c r="G214" s="116"/>
      <c r="H214" s="99" t="s">
        <v>146</v>
      </c>
      <c r="I214" s="99">
        <f t="shared" ref="I214:I220" si="16">C214/1000*E214*G214</f>
        <v>0</v>
      </c>
    </row>
    <row r="215" spans="1:9" s="99" customFormat="1" ht="16.5" thickBot="1" x14ac:dyDescent="0.3">
      <c r="A215" s="116" t="s">
        <v>330</v>
      </c>
      <c r="B215" s="71"/>
      <c r="C215" s="116"/>
      <c r="D215" s="99" t="s">
        <v>127</v>
      </c>
      <c r="E215" s="193"/>
      <c r="F215" s="99" t="s">
        <v>311</v>
      </c>
      <c r="G215" s="116"/>
      <c r="H215" s="99" t="s">
        <v>146</v>
      </c>
      <c r="I215" s="99">
        <f t="shared" si="16"/>
        <v>0</v>
      </c>
    </row>
    <row r="216" spans="1:9" s="99" customFormat="1" ht="32.25" thickBot="1" x14ac:dyDescent="0.3">
      <c r="A216" s="181" t="s">
        <v>331</v>
      </c>
      <c r="B216" s="71"/>
      <c r="C216" s="116"/>
      <c r="D216" s="99" t="s">
        <v>127</v>
      </c>
      <c r="E216" s="193"/>
      <c r="F216" s="99" t="s">
        <v>311</v>
      </c>
      <c r="G216" s="116"/>
      <c r="H216" s="99" t="s">
        <v>146</v>
      </c>
      <c r="I216" s="99">
        <f t="shared" si="16"/>
        <v>0</v>
      </c>
    </row>
    <row r="217" spans="1:9" s="99" customFormat="1" ht="32.25" thickBot="1" x14ac:dyDescent="0.3">
      <c r="A217" s="181" t="s">
        <v>332</v>
      </c>
      <c r="B217" s="71"/>
      <c r="C217" s="116"/>
      <c r="D217" s="99" t="s">
        <v>127</v>
      </c>
      <c r="E217" s="193"/>
      <c r="F217" s="99" t="s">
        <v>311</v>
      </c>
      <c r="G217" s="116"/>
      <c r="H217" s="99" t="s">
        <v>146</v>
      </c>
      <c r="I217" s="99">
        <f t="shared" si="16"/>
        <v>0</v>
      </c>
    </row>
    <row r="218" spans="1:9" s="99" customFormat="1" ht="16.5" thickBot="1" x14ac:dyDescent="0.3">
      <c r="A218" s="116" t="s">
        <v>333</v>
      </c>
      <c r="B218" s="71"/>
      <c r="C218" s="116"/>
      <c r="D218" s="99" t="s">
        <v>127</v>
      </c>
      <c r="E218" s="193"/>
      <c r="F218" s="99" t="s">
        <v>311</v>
      </c>
      <c r="G218" s="116"/>
      <c r="H218" s="99" t="s">
        <v>146</v>
      </c>
      <c r="I218" s="99">
        <f t="shared" si="16"/>
        <v>0</v>
      </c>
    </row>
    <row r="219" spans="1:9" s="99" customFormat="1" ht="16.5" thickBot="1" x14ac:dyDescent="0.3">
      <c r="A219" s="116" t="s">
        <v>334</v>
      </c>
      <c r="B219" s="71"/>
      <c r="C219" s="116"/>
      <c r="D219" s="99" t="s">
        <v>127</v>
      </c>
      <c r="E219" s="193"/>
      <c r="F219" s="99" t="s">
        <v>311</v>
      </c>
      <c r="G219" s="116"/>
      <c r="H219" s="99" t="s">
        <v>146</v>
      </c>
      <c r="I219" s="99">
        <f t="shared" si="16"/>
        <v>0</v>
      </c>
    </row>
    <row r="220" spans="1:9" s="99" customFormat="1" ht="16.5" thickBot="1" x14ac:dyDescent="0.3">
      <c r="A220" s="116" t="s">
        <v>326</v>
      </c>
      <c r="B220" s="71"/>
      <c r="C220" s="116"/>
      <c r="D220" s="99" t="s">
        <v>127</v>
      </c>
      <c r="E220" s="193"/>
      <c r="F220" s="99" t="s">
        <v>311</v>
      </c>
      <c r="G220" s="116"/>
      <c r="H220" s="99" t="s">
        <v>146</v>
      </c>
      <c r="I220" s="99">
        <f t="shared" si="16"/>
        <v>0</v>
      </c>
    </row>
    <row r="221" spans="1:9" s="99" customFormat="1" ht="15.75" x14ac:dyDescent="0.25">
      <c r="A221" s="77"/>
      <c r="B221" s="71"/>
      <c r="G221" s="38"/>
    </row>
    <row r="222" spans="1:9" s="99" customFormat="1" ht="15.75" x14ac:dyDescent="0.25">
      <c r="A222" s="77"/>
      <c r="B222" s="71"/>
      <c r="D222" s="182" t="s">
        <v>343</v>
      </c>
      <c r="E222" s="182">
        <f>SUM(I214:I220)</f>
        <v>0</v>
      </c>
      <c r="G222" s="38"/>
    </row>
    <row r="223" spans="1:9" s="99" customFormat="1" ht="15.75" x14ac:dyDescent="0.25">
      <c r="A223" s="77"/>
      <c r="B223" s="71" t="s">
        <v>293</v>
      </c>
      <c r="G223" s="38"/>
    </row>
    <row r="224" spans="1:9" s="99" customFormat="1" ht="16.5" thickBot="1" x14ac:dyDescent="0.3">
      <c r="A224" s="77"/>
      <c r="B224" s="71"/>
      <c r="C224" s="43" t="s">
        <v>54</v>
      </c>
      <c r="E224" s="176" t="s">
        <v>316</v>
      </c>
      <c r="G224" s="179" t="s">
        <v>317</v>
      </c>
      <c r="I224" s="179" t="s">
        <v>341</v>
      </c>
    </row>
    <row r="225" spans="1:9" s="99" customFormat="1" ht="16.5" thickBot="1" x14ac:dyDescent="0.3">
      <c r="A225" s="116" t="s">
        <v>326</v>
      </c>
      <c r="B225" s="71"/>
      <c r="C225" s="116"/>
      <c r="D225" s="99" t="s">
        <v>127</v>
      </c>
      <c r="E225" s="193"/>
      <c r="F225" s="99" t="s">
        <v>311</v>
      </c>
      <c r="G225" s="116"/>
      <c r="H225" s="99" t="s">
        <v>146</v>
      </c>
      <c r="I225" s="99">
        <f t="shared" ref="I225:I231" si="17">C225/1000*E225*G225</f>
        <v>0</v>
      </c>
    </row>
    <row r="226" spans="1:9" s="99" customFormat="1" ht="16.5" thickBot="1" x14ac:dyDescent="0.3">
      <c r="A226" s="116" t="s">
        <v>326</v>
      </c>
      <c r="B226" s="71"/>
      <c r="C226" s="116"/>
      <c r="D226" s="99" t="s">
        <v>127</v>
      </c>
      <c r="E226" s="193"/>
      <c r="F226" s="99" t="s">
        <v>311</v>
      </c>
      <c r="G226" s="116"/>
      <c r="H226" s="99" t="s">
        <v>146</v>
      </c>
      <c r="I226" s="99">
        <f t="shared" si="17"/>
        <v>0</v>
      </c>
    </row>
    <row r="227" spans="1:9" s="99" customFormat="1" ht="16.5" thickBot="1" x14ac:dyDescent="0.3">
      <c r="A227" s="116" t="s">
        <v>326</v>
      </c>
      <c r="B227" s="71"/>
      <c r="C227" s="116"/>
      <c r="D227" s="99" t="s">
        <v>127</v>
      </c>
      <c r="E227" s="193"/>
      <c r="F227" s="99" t="s">
        <v>311</v>
      </c>
      <c r="G227" s="116"/>
      <c r="H227" s="99" t="s">
        <v>146</v>
      </c>
      <c r="I227" s="99">
        <f t="shared" si="17"/>
        <v>0</v>
      </c>
    </row>
    <row r="228" spans="1:9" s="99" customFormat="1" ht="16.5" thickBot="1" x14ac:dyDescent="0.3">
      <c r="A228" s="116" t="s">
        <v>326</v>
      </c>
      <c r="B228" s="71"/>
      <c r="C228" s="116"/>
      <c r="D228" s="99" t="s">
        <v>127</v>
      </c>
      <c r="E228" s="193"/>
      <c r="F228" s="99" t="s">
        <v>311</v>
      </c>
      <c r="G228" s="116"/>
      <c r="H228" s="99" t="s">
        <v>146</v>
      </c>
      <c r="I228" s="99">
        <f t="shared" si="17"/>
        <v>0</v>
      </c>
    </row>
    <row r="229" spans="1:9" s="99" customFormat="1" ht="16.5" thickBot="1" x14ac:dyDescent="0.3">
      <c r="A229" s="116" t="s">
        <v>326</v>
      </c>
      <c r="B229" s="71"/>
      <c r="C229" s="116"/>
      <c r="D229" s="99" t="s">
        <v>127</v>
      </c>
      <c r="E229" s="193"/>
      <c r="F229" s="99" t="s">
        <v>311</v>
      </c>
      <c r="G229" s="116"/>
      <c r="H229" s="99" t="s">
        <v>146</v>
      </c>
      <c r="I229" s="99">
        <f t="shared" si="17"/>
        <v>0</v>
      </c>
    </row>
    <row r="230" spans="1:9" s="99" customFormat="1" ht="16.5" thickBot="1" x14ac:dyDescent="0.3">
      <c r="A230" s="116" t="s">
        <v>326</v>
      </c>
      <c r="B230" s="71"/>
      <c r="C230" s="116"/>
      <c r="D230" s="99" t="s">
        <v>127</v>
      </c>
      <c r="E230" s="193"/>
      <c r="F230" s="99" t="s">
        <v>311</v>
      </c>
      <c r="G230" s="116"/>
      <c r="H230" s="99" t="s">
        <v>146</v>
      </c>
      <c r="I230" s="99">
        <f t="shared" si="17"/>
        <v>0</v>
      </c>
    </row>
    <row r="231" spans="1:9" s="99" customFormat="1" ht="16.5" thickBot="1" x14ac:dyDescent="0.3">
      <c r="A231" s="116" t="s">
        <v>326</v>
      </c>
      <c r="B231" s="71"/>
      <c r="C231" s="116"/>
      <c r="D231" s="99" t="s">
        <v>127</v>
      </c>
      <c r="E231" s="193"/>
      <c r="F231" s="99" t="s">
        <v>311</v>
      </c>
      <c r="G231" s="116"/>
      <c r="H231" s="99" t="s">
        <v>146</v>
      </c>
      <c r="I231" s="99">
        <f t="shared" si="17"/>
        <v>0</v>
      </c>
    </row>
    <row r="232" spans="1:9" s="99" customFormat="1" ht="15.75" x14ac:dyDescent="0.25">
      <c r="A232" s="77"/>
      <c r="B232" s="71"/>
      <c r="G232" s="38"/>
    </row>
    <row r="233" spans="1:9" s="99" customFormat="1" ht="15.75" x14ac:dyDescent="0.25">
      <c r="A233" s="77"/>
      <c r="B233" s="71"/>
      <c r="C233" s="183" t="s">
        <v>298</v>
      </c>
      <c r="E233" s="182">
        <f>SUM(I225:I231)</f>
        <v>0</v>
      </c>
      <c r="G233" s="38"/>
    </row>
    <row r="234" spans="1:9" s="99" customFormat="1" ht="15.75" x14ac:dyDescent="0.25">
      <c r="A234" s="187" t="s">
        <v>345</v>
      </c>
      <c r="B234" s="188"/>
      <c r="C234" s="189"/>
      <c r="D234" s="189"/>
      <c r="E234" s="189"/>
      <c r="F234" s="189"/>
      <c r="G234" s="190"/>
      <c r="H234" s="189"/>
      <c r="I234" s="189"/>
    </row>
    <row r="235" spans="1:9" s="99" customFormat="1" ht="15.75" x14ac:dyDescent="0.25">
      <c r="A235" s="77"/>
      <c r="B235" s="71"/>
      <c r="G235" s="38"/>
    </row>
    <row r="236" spans="1:9" s="99" customFormat="1" ht="15.75" x14ac:dyDescent="0.25">
      <c r="B236" s="178" t="s">
        <v>323</v>
      </c>
      <c r="G236" s="38"/>
    </row>
    <row r="237" spans="1:9" s="99" customFormat="1" ht="16.5" thickBot="1" x14ac:dyDescent="0.3">
      <c r="B237" s="91"/>
      <c r="C237" s="43" t="s">
        <v>54</v>
      </c>
      <c r="E237" s="176" t="s">
        <v>316</v>
      </c>
      <c r="G237" s="179" t="s">
        <v>317</v>
      </c>
      <c r="I237" s="179" t="s">
        <v>341</v>
      </c>
    </row>
    <row r="238" spans="1:9" s="99" customFormat="1" ht="16.5" thickBot="1" x14ac:dyDescent="0.3">
      <c r="A238" s="116" t="s">
        <v>55</v>
      </c>
      <c r="B238" s="71"/>
      <c r="C238" s="116">
        <v>25000</v>
      </c>
      <c r="D238" s="99" t="s">
        <v>127</v>
      </c>
      <c r="E238" s="193">
        <v>2.5</v>
      </c>
      <c r="F238" s="99" t="s">
        <v>311</v>
      </c>
      <c r="G238" s="116">
        <v>200</v>
      </c>
      <c r="H238" s="99" t="s">
        <v>146</v>
      </c>
      <c r="I238" s="99">
        <f>C238/1000*E238*G238</f>
        <v>12500</v>
      </c>
    </row>
    <row r="239" spans="1:9" s="99" customFormat="1" ht="16.5" thickBot="1" x14ac:dyDescent="0.3">
      <c r="A239" s="116" t="s">
        <v>313</v>
      </c>
      <c r="B239" s="71"/>
      <c r="C239" s="116"/>
      <c r="D239" s="99" t="s">
        <v>127</v>
      </c>
      <c r="E239" s="193"/>
      <c r="F239" s="99" t="s">
        <v>311</v>
      </c>
      <c r="G239" s="116"/>
      <c r="H239" s="99" t="s">
        <v>146</v>
      </c>
      <c r="I239" s="99">
        <f t="shared" ref="I239:I245" si="18">C239/1000*E239*G239</f>
        <v>0</v>
      </c>
    </row>
    <row r="240" spans="1:9" s="99" customFormat="1" ht="16.5" thickBot="1" x14ac:dyDescent="0.3">
      <c r="A240" s="116" t="s">
        <v>314</v>
      </c>
      <c r="B240" s="71"/>
      <c r="C240" s="116"/>
      <c r="D240" s="99" t="s">
        <v>127</v>
      </c>
      <c r="E240" s="193"/>
      <c r="F240" s="99" t="s">
        <v>311</v>
      </c>
      <c r="G240" s="116"/>
      <c r="H240" s="99" t="s">
        <v>146</v>
      </c>
      <c r="I240" s="99">
        <f t="shared" si="18"/>
        <v>0</v>
      </c>
    </row>
    <row r="241" spans="1:10" s="99" customFormat="1" ht="16.5" thickBot="1" x14ac:dyDescent="0.3">
      <c r="A241" s="116" t="s">
        <v>315</v>
      </c>
      <c r="B241" s="71"/>
      <c r="C241" s="116"/>
      <c r="D241" s="99" t="s">
        <v>127</v>
      </c>
      <c r="E241" s="193"/>
      <c r="F241" s="99" t="s">
        <v>311</v>
      </c>
      <c r="G241" s="116"/>
      <c r="H241" s="99" t="s">
        <v>146</v>
      </c>
      <c r="I241" s="99">
        <f t="shared" si="18"/>
        <v>0</v>
      </c>
    </row>
    <row r="242" spans="1:10" s="99" customFormat="1" ht="16.5" thickBot="1" x14ac:dyDescent="0.3">
      <c r="A242" s="116" t="s">
        <v>326</v>
      </c>
      <c r="B242" s="71"/>
      <c r="C242" s="116"/>
      <c r="D242" s="99" t="s">
        <v>127</v>
      </c>
      <c r="E242" s="193"/>
      <c r="F242" s="99" t="s">
        <v>311</v>
      </c>
      <c r="G242" s="116"/>
      <c r="H242" s="99" t="s">
        <v>146</v>
      </c>
      <c r="I242" s="99">
        <f t="shared" si="18"/>
        <v>0</v>
      </c>
    </row>
    <row r="243" spans="1:10" s="99" customFormat="1" ht="16.5" thickBot="1" x14ac:dyDescent="0.3">
      <c r="A243" s="116" t="s">
        <v>326</v>
      </c>
      <c r="B243" s="71"/>
      <c r="C243" s="116"/>
      <c r="D243" s="99" t="s">
        <v>127</v>
      </c>
      <c r="E243" s="193"/>
      <c r="F243" s="99" t="s">
        <v>311</v>
      </c>
      <c r="G243" s="116"/>
      <c r="H243" s="99" t="s">
        <v>146</v>
      </c>
      <c r="I243" s="99">
        <f t="shared" si="18"/>
        <v>0</v>
      </c>
    </row>
    <row r="244" spans="1:10" s="99" customFormat="1" ht="16.5" thickBot="1" x14ac:dyDescent="0.3">
      <c r="A244" s="116" t="s">
        <v>326</v>
      </c>
      <c r="B244" s="71"/>
      <c r="C244" s="116"/>
      <c r="D244" s="99" t="s">
        <v>127</v>
      </c>
      <c r="E244" s="193"/>
      <c r="F244" s="99" t="s">
        <v>311</v>
      </c>
      <c r="G244" s="116"/>
      <c r="H244" s="99" t="s">
        <v>146</v>
      </c>
      <c r="I244" s="99">
        <f t="shared" si="18"/>
        <v>0</v>
      </c>
    </row>
    <row r="245" spans="1:10" s="99" customFormat="1" ht="16.5" thickBot="1" x14ac:dyDescent="0.3">
      <c r="A245" s="116" t="s">
        <v>326</v>
      </c>
      <c r="B245" s="71"/>
      <c r="C245" s="116"/>
      <c r="D245" s="99" t="s">
        <v>127</v>
      </c>
      <c r="E245" s="193"/>
      <c r="F245" s="99" t="s">
        <v>311</v>
      </c>
      <c r="G245" s="116"/>
      <c r="H245" s="99" t="s">
        <v>146</v>
      </c>
      <c r="I245" s="99">
        <f t="shared" si="18"/>
        <v>0</v>
      </c>
    </row>
    <row r="246" spans="1:10" s="99" customFormat="1" ht="15.75" x14ac:dyDescent="0.25">
      <c r="A246" s="77"/>
      <c r="B246" s="71"/>
      <c r="G246" s="38"/>
    </row>
    <row r="247" spans="1:10" s="99" customFormat="1" ht="15.75" x14ac:dyDescent="0.25">
      <c r="A247" s="77"/>
      <c r="B247" s="71"/>
      <c r="D247" s="182" t="s">
        <v>340</v>
      </c>
      <c r="E247" s="182">
        <f>SUM(I238:I245)</f>
        <v>12500</v>
      </c>
      <c r="G247" s="38"/>
    </row>
    <row r="248" spans="1:10" s="99" customFormat="1" ht="15.75" x14ac:dyDescent="0.25">
      <c r="A248" s="77"/>
      <c r="B248" s="71" t="s">
        <v>140</v>
      </c>
      <c r="G248" s="38"/>
    </row>
    <row r="249" spans="1:10" s="99" customFormat="1" ht="16.5" thickBot="1" x14ac:dyDescent="0.3">
      <c r="A249" s="77"/>
      <c r="B249" s="71"/>
      <c r="C249" s="43" t="s">
        <v>54</v>
      </c>
      <c r="E249" s="176" t="s">
        <v>316</v>
      </c>
      <c r="G249" s="179" t="s">
        <v>317</v>
      </c>
      <c r="I249" s="179" t="s">
        <v>341</v>
      </c>
    </row>
    <row r="250" spans="1:10" s="99" customFormat="1" ht="34.5" customHeight="1" thickBot="1" x14ac:dyDescent="0.3">
      <c r="A250" s="181" t="s">
        <v>321</v>
      </c>
      <c r="B250" s="71"/>
      <c r="C250" s="119">
        <v>15000</v>
      </c>
      <c r="D250" s="99" t="s">
        <v>127</v>
      </c>
      <c r="E250" s="193">
        <v>7</v>
      </c>
      <c r="F250" s="99" t="s">
        <v>311</v>
      </c>
      <c r="G250" s="116">
        <v>200</v>
      </c>
      <c r="H250" s="99" t="s">
        <v>146</v>
      </c>
      <c r="I250" s="99">
        <f>C250/1000*E250*G250</f>
        <v>21000</v>
      </c>
      <c r="J250" s="185"/>
    </row>
    <row r="251" spans="1:10" s="99" customFormat="1" ht="16.5" thickBot="1" x14ac:dyDescent="0.3">
      <c r="A251" s="116" t="s">
        <v>318</v>
      </c>
      <c r="B251" s="71"/>
      <c r="C251" s="116"/>
      <c r="D251" s="99" t="s">
        <v>127</v>
      </c>
      <c r="E251" s="193"/>
      <c r="F251" s="99" t="s">
        <v>311</v>
      </c>
      <c r="G251" s="116"/>
      <c r="H251" s="99" t="s">
        <v>146</v>
      </c>
      <c r="I251" s="99">
        <f t="shared" ref="I251:I256" si="19">C251/1000*E251*G251</f>
        <v>0</v>
      </c>
    </row>
    <row r="252" spans="1:10" s="99" customFormat="1" ht="32.25" thickBot="1" x14ac:dyDescent="0.3">
      <c r="A252" s="181" t="s">
        <v>319</v>
      </c>
      <c r="B252" s="71"/>
      <c r="C252" s="116"/>
      <c r="D252" s="99" t="s">
        <v>127</v>
      </c>
      <c r="E252" s="193"/>
      <c r="F252" s="99" t="s">
        <v>311</v>
      </c>
      <c r="G252" s="116"/>
      <c r="H252" s="99" t="s">
        <v>146</v>
      </c>
      <c r="I252" s="99">
        <f t="shared" si="19"/>
        <v>0</v>
      </c>
    </row>
    <row r="253" spans="1:10" s="99" customFormat="1" ht="16.5" thickBot="1" x14ac:dyDescent="0.3">
      <c r="A253" s="116" t="s">
        <v>320</v>
      </c>
      <c r="B253" s="71"/>
      <c r="C253" s="116"/>
      <c r="D253" s="99" t="s">
        <v>127</v>
      </c>
      <c r="E253" s="193"/>
      <c r="F253" s="99" t="s">
        <v>311</v>
      </c>
      <c r="G253" s="116"/>
      <c r="H253" s="99" t="s">
        <v>146</v>
      </c>
      <c r="I253" s="99">
        <f t="shared" si="19"/>
        <v>0</v>
      </c>
    </row>
    <row r="254" spans="1:10" s="99" customFormat="1" ht="16.5" thickBot="1" x14ac:dyDescent="0.3">
      <c r="A254" s="116" t="s">
        <v>326</v>
      </c>
      <c r="B254" s="71"/>
      <c r="C254" s="116"/>
      <c r="D254" s="99" t="s">
        <v>127</v>
      </c>
      <c r="E254" s="193"/>
      <c r="F254" s="99" t="s">
        <v>311</v>
      </c>
      <c r="G254" s="116"/>
      <c r="H254" s="99" t="s">
        <v>146</v>
      </c>
      <c r="I254" s="99">
        <f t="shared" si="19"/>
        <v>0</v>
      </c>
    </row>
    <row r="255" spans="1:10" s="99" customFormat="1" ht="16.5" thickBot="1" x14ac:dyDescent="0.3">
      <c r="A255" s="116" t="s">
        <v>326</v>
      </c>
      <c r="B255" s="71"/>
      <c r="C255" s="116"/>
      <c r="D255" s="99" t="s">
        <v>127</v>
      </c>
      <c r="E255" s="193"/>
      <c r="F255" s="99" t="s">
        <v>311</v>
      </c>
      <c r="G255" s="116"/>
      <c r="H255" s="99" t="s">
        <v>146</v>
      </c>
      <c r="I255" s="99">
        <f t="shared" si="19"/>
        <v>0</v>
      </c>
    </row>
    <row r="256" spans="1:10" s="99" customFormat="1" ht="16.5" thickBot="1" x14ac:dyDescent="0.3">
      <c r="A256" s="116" t="s">
        <v>326</v>
      </c>
      <c r="B256" s="71"/>
      <c r="C256" s="116"/>
      <c r="D256" s="99" t="s">
        <v>127</v>
      </c>
      <c r="E256" s="193"/>
      <c r="F256" s="99" t="s">
        <v>311</v>
      </c>
      <c r="G256" s="116"/>
      <c r="H256" s="99" t="s">
        <v>146</v>
      </c>
      <c r="I256" s="99">
        <f t="shared" si="19"/>
        <v>0</v>
      </c>
    </row>
    <row r="257" spans="1:9" s="99" customFormat="1" ht="15.75" x14ac:dyDescent="0.25">
      <c r="A257" s="77"/>
      <c r="B257" s="71"/>
      <c r="G257" s="38"/>
    </row>
    <row r="258" spans="1:9" s="99" customFormat="1" ht="15.75" x14ac:dyDescent="0.25">
      <c r="A258" s="77"/>
      <c r="B258" s="71"/>
      <c r="D258" s="182" t="s">
        <v>294</v>
      </c>
      <c r="E258" s="182">
        <f>SUM(I250:I256)</f>
        <v>21000</v>
      </c>
      <c r="G258" s="38"/>
    </row>
    <row r="259" spans="1:9" s="99" customFormat="1" ht="15.75" x14ac:dyDescent="0.25">
      <c r="A259" s="77"/>
      <c r="B259" s="71" t="s">
        <v>325</v>
      </c>
      <c r="G259" s="38"/>
    </row>
    <row r="260" spans="1:9" s="99" customFormat="1" ht="16.5" thickBot="1" x14ac:dyDescent="0.3">
      <c r="A260" s="77"/>
      <c r="B260" s="71"/>
      <c r="C260" s="43" t="s">
        <v>54</v>
      </c>
      <c r="E260" s="176" t="s">
        <v>316</v>
      </c>
      <c r="G260" s="179" t="s">
        <v>317</v>
      </c>
      <c r="I260" s="179" t="s">
        <v>341</v>
      </c>
    </row>
    <row r="261" spans="1:9" s="99" customFormat="1" ht="32.25" thickBot="1" x14ac:dyDescent="0.3">
      <c r="A261" s="181" t="s">
        <v>327</v>
      </c>
      <c r="B261" s="71"/>
      <c r="C261" s="116"/>
      <c r="D261" s="99" t="s">
        <v>129</v>
      </c>
      <c r="E261" s="193"/>
      <c r="F261" s="99" t="s">
        <v>311</v>
      </c>
      <c r="G261" s="116"/>
      <c r="H261" s="99" t="s">
        <v>146</v>
      </c>
      <c r="I261" s="99">
        <f>C261*E261*G261</f>
        <v>0</v>
      </c>
    </row>
    <row r="262" spans="1:9" s="99" customFormat="1" ht="32.25" thickBot="1" x14ac:dyDescent="0.3">
      <c r="A262" s="181" t="s">
        <v>328</v>
      </c>
      <c r="B262" s="71"/>
      <c r="C262" s="116"/>
      <c r="D262" s="99" t="s">
        <v>129</v>
      </c>
      <c r="E262" s="193"/>
      <c r="F262" s="99" t="s">
        <v>311</v>
      </c>
      <c r="G262" s="116"/>
      <c r="H262" s="99" t="s">
        <v>146</v>
      </c>
      <c r="I262" s="99">
        <f t="shared" ref="I262:I267" si="20">C262*E262*G262</f>
        <v>0</v>
      </c>
    </row>
    <row r="263" spans="1:9" s="99" customFormat="1" ht="16.5" thickBot="1" x14ac:dyDescent="0.3">
      <c r="A263" s="116" t="s">
        <v>326</v>
      </c>
      <c r="B263" s="71"/>
      <c r="C263" s="116"/>
      <c r="D263" s="99" t="s">
        <v>129</v>
      </c>
      <c r="E263" s="193"/>
      <c r="F263" s="99" t="s">
        <v>311</v>
      </c>
      <c r="G263" s="116"/>
      <c r="H263" s="99" t="s">
        <v>146</v>
      </c>
      <c r="I263" s="99">
        <f t="shared" si="20"/>
        <v>0</v>
      </c>
    </row>
    <row r="264" spans="1:9" s="99" customFormat="1" ht="16.5" thickBot="1" x14ac:dyDescent="0.3">
      <c r="A264" s="116" t="s">
        <v>326</v>
      </c>
      <c r="B264" s="71"/>
      <c r="C264" s="116"/>
      <c r="D264" s="99" t="s">
        <v>129</v>
      </c>
      <c r="E264" s="193"/>
      <c r="F264" s="99" t="s">
        <v>311</v>
      </c>
      <c r="G264" s="116"/>
      <c r="H264" s="99" t="s">
        <v>146</v>
      </c>
      <c r="I264" s="99">
        <f t="shared" si="20"/>
        <v>0</v>
      </c>
    </row>
    <row r="265" spans="1:9" s="99" customFormat="1" ht="16.5" thickBot="1" x14ac:dyDescent="0.3">
      <c r="A265" s="116" t="s">
        <v>326</v>
      </c>
      <c r="B265" s="71"/>
      <c r="C265" s="116"/>
      <c r="D265" s="99" t="s">
        <v>129</v>
      </c>
      <c r="E265" s="193"/>
      <c r="F265" s="99" t="s">
        <v>311</v>
      </c>
      <c r="G265" s="116"/>
      <c r="H265" s="99" t="s">
        <v>146</v>
      </c>
      <c r="I265" s="99">
        <f t="shared" si="20"/>
        <v>0</v>
      </c>
    </row>
    <row r="266" spans="1:9" s="99" customFormat="1" ht="16.5" thickBot="1" x14ac:dyDescent="0.3">
      <c r="A266" s="116" t="s">
        <v>326</v>
      </c>
      <c r="B266" s="71"/>
      <c r="C266" s="116"/>
      <c r="D266" s="99" t="s">
        <v>129</v>
      </c>
      <c r="E266" s="193"/>
      <c r="F266" s="99" t="s">
        <v>311</v>
      </c>
      <c r="G266" s="116"/>
      <c r="H266" s="99" t="s">
        <v>146</v>
      </c>
      <c r="I266" s="99">
        <f t="shared" si="20"/>
        <v>0</v>
      </c>
    </row>
    <row r="267" spans="1:9" s="99" customFormat="1" ht="16.5" thickBot="1" x14ac:dyDescent="0.3">
      <c r="A267" s="116" t="s">
        <v>326</v>
      </c>
      <c r="B267" s="71"/>
      <c r="C267" s="116"/>
      <c r="D267" s="99" t="s">
        <v>129</v>
      </c>
      <c r="E267" s="193"/>
      <c r="F267" s="99" t="s">
        <v>311</v>
      </c>
      <c r="G267" s="116"/>
      <c r="H267" s="99" t="s">
        <v>146</v>
      </c>
      <c r="I267" s="99">
        <f t="shared" si="20"/>
        <v>0</v>
      </c>
    </row>
    <row r="268" spans="1:9" s="99" customFormat="1" ht="15.75" x14ac:dyDescent="0.25">
      <c r="A268" s="77"/>
      <c r="B268" s="71"/>
      <c r="G268" s="38"/>
    </row>
    <row r="269" spans="1:9" s="99" customFormat="1" ht="15.75" x14ac:dyDescent="0.25">
      <c r="A269" s="77"/>
      <c r="B269" s="71"/>
      <c r="C269" s="182" t="s">
        <v>342</v>
      </c>
      <c r="E269" s="182">
        <f>SUM(I261:I267)</f>
        <v>0</v>
      </c>
      <c r="G269" s="38"/>
    </row>
    <row r="270" spans="1:9" s="99" customFormat="1" ht="15.75" x14ac:dyDescent="0.25">
      <c r="A270" s="77"/>
      <c r="B270" s="71" t="s">
        <v>258</v>
      </c>
      <c r="G270" s="38"/>
    </row>
    <row r="271" spans="1:9" s="99" customFormat="1" ht="16.5" thickBot="1" x14ac:dyDescent="0.3">
      <c r="A271" s="77"/>
      <c r="B271" s="71"/>
      <c r="C271" s="43" t="s">
        <v>54</v>
      </c>
      <c r="E271" s="176" t="s">
        <v>316</v>
      </c>
      <c r="G271" s="179" t="s">
        <v>317</v>
      </c>
      <c r="I271" s="179" t="s">
        <v>341</v>
      </c>
    </row>
    <row r="272" spans="1:9" s="99" customFormat="1" ht="16.5" thickBot="1" x14ac:dyDescent="0.3">
      <c r="A272" s="116" t="s">
        <v>326</v>
      </c>
      <c r="B272" s="71"/>
      <c r="C272" s="116"/>
      <c r="D272" s="99" t="s">
        <v>127</v>
      </c>
      <c r="E272" s="116"/>
      <c r="F272" s="99" t="s">
        <v>311</v>
      </c>
      <c r="G272" s="116"/>
      <c r="H272" s="99" t="s">
        <v>146</v>
      </c>
      <c r="I272" s="99">
        <f t="shared" ref="I272:I278" si="21">C272/1000*E272*G272</f>
        <v>0</v>
      </c>
    </row>
    <row r="273" spans="1:9" s="99" customFormat="1" ht="16.5" thickBot="1" x14ac:dyDescent="0.3">
      <c r="A273" s="116" t="s">
        <v>326</v>
      </c>
      <c r="B273" s="71"/>
      <c r="C273" s="116"/>
      <c r="D273" s="99" t="s">
        <v>127</v>
      </c>
      <c r="E273" s="116"/>
      <c r="F273" s="99" t="s">
        <v>311</v>
      </c>
      <c r="G273" s="116"/>
      <c r="H273" s="99" t="s">
        <v>146</v>
      </c>
      <c r="I273" s="99">
        <f t="shared" si="21"/>
        <v>0</v>
      </c>
    </row>
    <row r="274" spans="1:9" s="99" customFormat="1" ht="16.5" thickBot="1" x14ac:dyDescent="0.3">
      <c r="A274" s="116" t="s">
        <v>326</v>
      </c>
      <c r="B274" s="71"/>
      <c r="C274" s="116"/>
      <c r="D274" s="99" t="s">
        <v>127</v>
      </c>
      <c r="E274" s="116"/>
      <c r="F274" s="99" t="s">
        <v>311</v>
      </c>
      <c r="G274" s="116"/>
      <c r="H274" s="99" t="s">
        <v>146</v>
      </c>
      <c r="I274" s="99">
        <f t="shared" si="21"/>
        <v>0</v>
      </c>
    </row>
    <row r="275" spans="1:9" s="99" customFormat="1" ht="16.5" thickBot="1" x14ac:dyDescent="0.3">
      <c r="A275" s="116" t="s">
        <v>326</v>
      </c>
      <c r="B275" s="71"/>
      <c r="C275" s="116"/>
      <c r="D275" s="99" t="s">
        <v>127</v>
      </c>
      <c r="E275" s="116"/>
      <c r="F275" s="99" t="s">
        <v>311</v>
      </c>
      <c r="G275" s="116"/>
      <c r="H275" s="99" t="s">
        <v>146</v>
      </c>
      <c r="I275" s="99">
        <f t="shared" si="21"/>
        <v>0</v>
      </c>
    </row>
    <row r="276" spans="1:9" s="99" customFormat="1" ht="16.5" thickBot="1" x14ac:dyDescent="0.3">
      <c r="A276" s="116" t="s">
        <v>326</v>
      </c>
      <c r="B276" s="71"/>
      <c r="C276" s="116"/>
      <c r="D276" s="99" t="s">
        <v>127</v>
      </c>
      <c r="E276" s="116"/>
      <c r="F276" s="99" t="s">
        <v>311</v>
      </c>
      <c r="G276" s="116"/>
      <c r="H276" s="99" t="s">
        <v>146</v>
      </c>
      <c r="I276" s="99">
        <f t="shared" si="21"/>
        <v>0</v>
      </c>
    </row>
    <row r="277" spans="1:9" s="99" customFormat="1" ht="16.5" thickBot="1" x14ac:dyDescent="0.3">
      <c r="A277" s="116" t="s">
        <v>326</v>
      </c>
      <c r="B277" s="71"/>
      <c r="C277" s="116"/>
      <c r="D277" s="99" t="s">
        <v>127</v>
      </c>
      <c r="E277" s="116"/>
      <c r="F277" s="99" t="s">
        <v>311</v>
      </c>
      <c r="G277" s="116"/>
      <c r="H277" s="99" t="s">
        <v>146</v>
      </c>
      <c r="I277" s="99">
        <f t="shared" si="21"/>
        <v>0</v>
      </c>
    </row>
    <row r="278" spans="1:9" s="99" customFormat="1" ht="16.5" thickBot="1" x14ac:dyDescent="0.3">
      <c r="A278" s="116" t="s">
        <v>326</v>
      </c>
      <c r="B278" s="71"/>
      <c r="C278" s="116"/>
      <c r="D278" s="99" t="s">
        <v>127</v>
      </c>
      <c r="E278" s="116"/>
      <c r="F278" s="99" t="s">
        <v>311</v>
      </c>
      <c r="G278" s="116"/>
      <c r="H278" s="99" t="s">
        <v>146</v>
      </c>
      <c r="I278" s="99">
        <f t="shared" si="21"/>
        <v>0</v>
      </c>
    </row>
    <row r="279" spans="1:9" s="99" customFormat="1" ht="15.75" x14ac:dyDescent="0.25">
      <c r="A279" s="77"/>
      <c r="B279" s="71"/>
      <c r="G279" s="38"/>
    </row>
    <row r="280" spans="1:9" s="99" customFormat="1" ht="15.75" x14ac:dyDescent="0.25">
      <c r="A280" s="77"/>
      <c r="B280" s="71"/>
      <c r="D280" s="182" t="s">
        <v>296</v>
      </c>
      <c r="E280" s="182">
        <f>SUM(I272:I278)</f>
        <v>0</v>
      </c>
      <c r="G280" s="38"/>
    </row>
    <row r="281" spans="1:9" s="99" customFormat="1" ht="15.75" x14ac:dyDescent="0.25">
      <c r="A281" s="77"/>
      <c r="B281" s="71" t="s">
        <v>322</v>
      </c>
      <c r="G281" s="38"/>
    </row>
    <row r="282" spans="1:9" s="99" customFormat="1" ht="16.5" thickBot="1" x14ac:dyDescent="0.3">
      <c r="A282" s="77"/>
      <c r="B282" s="71"/>
      <c r="C282" s="43" t="s">
        <v>54</v>
      </c>
      <c r="E282" s="176" t="s">
        <v>316</v>
      </c>
      <c r="G282" s="179" t="s">
        <v>317</v>
      </c>
      <c r="I282" s="179" t="s">
        <v>341</v>
      </c>
    </row>
    <row r="283" spans="1:9" s="99" customFormat="1" ht="16.5" thickBot="1" x14ac:dyDescent="0.3">
      <c r="A283" s="116" t="s">
        <v>329</v>
      </c>
      <c r="B283" s="71"/>
      <c r="C283" s="116"/>
      <c r="D283" s="99" t="s">
        <v>127</v>
      </c>
      <c r="E283" s="193"/>
      <c r="F283" s="99" t="s">
        <v>311</v>
      </c>
      <c r="G283" s="116"/>
      <c r="H283" s="99" t="s">
        <v>146</v>
      </c>
      <c r="I283" s="99">
        <f t="shared" ref="I283:I289" si="22">C283/1000*E283*G283</f>
        <v>0</v>
      </c>
    </row>
    <row r="284" spans="1:9" s="99" customFormat="1" ht="16.5" thickBot="1" x14ac:dyDescent="0.3">
      <c r="A284" s="116" t="s">
        <v>330</v>
      </c>
      <c r="B284" s="71"/>
      <c r="C284" s="116"/>
      <c r="D284" s="99" t="s">
        <v>127</v>
      </c>
      <c r="E284" s="193"/>
      <c r="F284" s="99" t="s">
        <v>311</v>
      </c>
      <c r="G284" s="116"/>
      <c r="H284" s="99" t="s">
        <v>146</v>
      </c>
      <c r="I284" s="99">
        <f t="shared" si="22"/>
        <v>0</v>
      </c>
    </row>
    <row r="285" spans="1:9" s="99" customFormat="1" ht="32.25" thickBot="1" x14ac:dyDescent="0.3">
      <c r="A285" s="181" t="s">
        <v>331</v>
      </c>
      <c r="B285" s="71"/>
      <c r="C285" s="116"/>
      <c r="D285" s="99" t="s">
        <v>127</v>
      </c>
      <c r="E285" s="193"/>
      <c r="F285" s="99" t="s">
        <v>311</v>
      </c>
      <c r="G285" s="116"/>
      <c r="H285" s="99" t="s">
        <v>146</v>
      </c>
      <c r="I285" s="99">
        <f t="shared" si="22"/>
        <v>0</v>
      </c>
    </row>
    <row r="286" spans="1:9" s="99" customFormat="1" ht="32.25" thickBot="1" x14ac:dyDescent="0.3">
      <c r="A286" s="181" t="s">
        <v>332</v>
      </c>
      <c r="B286" s="71"/>
      <c r="C286" s="116"/>
      <c r="D286" s="99" t="s">
        <v>127</v>
      </c>
      <c r="E286" s="193"/>
      <c r="F286" s="99" t="s">
        <v>311</v>
      </c>
      <c r="G286" s="116"/>
      <c r="H286" s="99" t="s">
        <v>146</v>
      </c>
      <c r="I286" s="99">
        <f t="shared" si="22"/>
        <v>0</v>
      </c>
    </row>
    <row r="287" spans="1:9" s="99" customFormat="1" ht="16.5" thickBot="1" x14ac:dyDescent="0.3">
      <c r="A287" s="116" t="s">
        <v>333</v>
      </c>
      <c r="B287" s="71"/>
      <c r="C287" s="116"/>
      <c r="D287" s="99" t="s">
        <v>127</v>
      </c>
      <c r="E287" s="193"/>
      <c r="F287" s="99" t="s">
        <v>311</v>
      </c>
      <c r="G287" s="116"/>
      <c r="H287" s="99" t="s">
        <v>146</v>
      </c>
      <c r="I287" s="99">
        <f t="shared" si="22"/>
        <v>0</v>
      </c>
    </row>
    <row r="288" spans="1:9" s="99" customFormat="1" ht="16.5" thickBot="1" x14ac:dyDescent="0.3">
      <c r="A288" s="116" t="s">
        <v>334</v>
      </c>
      <c r="B288" s="71"/>
      <c r="C288" s="116"/>
      <c r="D288" s="99" t="s">
        <v>127</v>
      </c>
      <c r="E288" s="193"/>
      <c r="F288" s="99" t="s">
        <v>311</v>
      </c>
      <c r="G288" s="116"/>
      <c r="H288" s="99" t="s">
        <v>146</v>
      </c>
      <c r="I288" s="99">
        <f t="shared" si="22"/>
        <v>0</v>
      </c>
    </row>
    <row r="289" spans="1:9" s="99" customFormat="1" ht="16.5" thickBot="1" x14ac:dyDescent="0.3">
      <c r="A289" s="116" t="s">
        <v>326</v>
      </c>
      <c r="B289" s="71"/>
      <c r="C289" s="116"/>
      <c r="D289" s="99" t="s">
        <v>127</v>
      </c>
      <c r="E289" s="193"/>
      <c r="F289" s="99" t="s">
        <v>311</v>
      </c>
      <c r="G289" s="116"/>
      <c r="H289" s="99" t="s">
        <v>146</v>
      </c>
      <c r="I289" s="99">
        <f t="shared" si="22"/>
        <v>0</v>
      </c>
    </row>
    <row r="290" spans="1:9" s="99" customFormat="1" ht="15.75" x14ac:dyDescent="0.25">
      <c r="A290" s="77"/>
      <c r="B290" s="71"/>
      <c r="G290" s="38"/>
    </row>
    <row r="291" spans="1:9" s="99" customFormat="1" ht="15.75" x14ac:dyDescent="0.25">
      <c r="A291" s="77"/>
      <c r="B291" s="71"/>
      <c r="D291" s="182" t="s">
        <v>343</v>
      </c>
      <c r="E291" s="182">
        <f>SUM(I283:I289)</f>
        <v>0</v>
      </c>
      <c r="G291" s="38"/>
    </row>
    <row r="292" spans="1:9" s="99" customFormat="1" ht="15.75" x14ac:dyDescent="0.25">
      <c r="A292" s="77"/>
      <c r="B292" s="71" t="s">
        <v>293</v>
      </c>
      <c r="G292" s="38"/>
    </row>
    <row r="293" spans="1:9" s="99" customFormat="1" ht="16.5" thickBot="1" x14ac:dyDescent="0.3">
      <c r="A293" s="77"/>
      <c r="B293" s="71"/>
      <c r="C293" s="43" t="s">
        <v>54</v>
      </c>
      <c r="E293" s="176" t="s">
        <v>316</v>
      </c>
      <c r="G293" s="179" t="s">
        <v>317</v>
      </c>
      <c r="I293" s="179" t="s">
        <v>341</v>
      </c>
    </row>
    <row r="294" spans="1:9" s="99" customFormat="1" ht="16.5" thickBot="1" x14ac:dyDescent="0.3">
      <c r="A294" s="116" t="s">
        <v>326</v>
      </c>
      <c r="B294" s="71"/>
      <c r="C294" s="116"/>
      <c r="D294" s="99" t="s">
        <v>127</v>
      </c>
      <c r="E294" s="193"/>
      <c r="F294" s="99" t="s">
        <v>311</v>
      </c>
      <c r="G294" s="116"/>
      <c r="H294" s="99" t="s">
        <v>146</v>
      </c>
      <c r="I294" s="99">
        <f t="shared" ref="I294:I300" si="23">C294/1000*E294*G294</f>
        <v>0</v>
      </c>
    </row>
    <row r="295" spans="1:9" s="99" customFormat="1" ht="16.5" thickBot="1" x14ac:dyDescent="0.3">
      <c r="A295" s="116" t="s">
        <v>326</v>
      </c>
      <c r="B295" s="71"/>
      <c r="C295" s="116"/>
      <c r="D295" s="99" t="s">
        <v>127</v>
      </c>
      <c r="E295" s="193"/>
      <c r="F295" s="99" t="s">
        <v>311</v>
      </c>
      <c r="G295" s="116"/>
      <c r="H295" s="99" t="s">
        <v>146</v>
      </c>
      <c r="I295" s="99">
        <f t="shared" si="23"/>
        <v>0</v>
      </c>
    </row>
    <row r="296" spans="1:9" s="99" customFormat="1" ht="16.5" thickBot="1" x14ac:dyDescent="0.3">
      <c r="A296" s="116" t="s">
        <v>326</v>
      </c>
      <c r="B296" s="71"/>
      <c r="C296" s="116"/>
      <c r="D296" s="99" t="s">
        <v>127</v>
      </c>
      <c r="E296" s="193"/>
      <c r="F296" s="99" t="s">
        <v>311</v>
      </c>
      <c r="G296" s="116"/>
      <c r="H296" s="99" t="s">
        <v>146</v>
      </c>
      <c r="I296" s="99">
        <f t="shared" si="23"/>
        <v>0</v>
      </c>
    </row>
    <row r="297" spans="1:9" s="99" customFormat="1" ht="16.5" thickBot="1" x14ac:dyDescent="0.3">
      <c r="A297" s="116" t="s">
        <v>326</v>
      </c>
      <c r="B297" s="71"/>
      <c r="C297" s="116"/>
      <c r="D297" s="99" t="s">
        <v>127</v>
      </c>
      <c r="E297" s="193"/>
      <c r="F297" s="99" t="s">
        <v>311</v>
      </c>
      <c r="G297" s="116"/>
      <c r="H297" s="99" t="s">
        <v>146</v>
      </c>
      <c r="I297" s="99">
        <f t="shared" si="23"/>
        <v>0</v>
      </c>
    </row>
    <row r="298" spans="1:9" s="99" customFormat="1" ht="16.5" thickBot="1" x14ac:dyDescent="0.3">
      <c r="A298" s="116" t="s">
        <v>326</v>
      </c>
      <c r="B298" s="71"/>
      <c r="C298" s="116"/>
      <c r="D298" s="99" t="s">
        <v>127</v>
      </c>
      <c r="E298" s="193"/>
      <c r="F298" s="99" t="s">
        <v>311</v>
      </c>
      <c r="G298" s="116"/>
      <c r="H298" s="99" t="s">
        <v>146</v>
      </c>
      <c r="I298" s="99">
        <f t="shared" si="23"/>
        <v>0</v>
      </c>
    </row>
    <row r="299" spans="1:9" s="99" customFormat="1" ht="16.5" thickBot="1" x14ac:dyDescent="0.3">
      <c r="A299" s="116" t="s">
        <v>326</v>
      </c>
      <c r="B299" s="71"/>
      <c r="C299" s="116"/>
      <c r="D299" s="99" t="s">
        <v>127</v>
      </c>
      <c r="E299" s="193"/>
      <c r="F299" s="99" t="s">
        <v>311</v>
      </c>
      <c r="G299" s="116"/>
      <c r="H299" s="99" t="s">
        <v>146</v>
      </c>
      <c r="I299" s="99">
        <f t="shared" si="23"/>
        <v>0</v>
      </c>
    </row>
    <row r="300" spans="1:9" s="99" customFormat="1" ht="16.5" thickBot="1" x14ac:dyDescent="0.3">
      <c r="A300" s="116" t="s">
        <v>326</v>
      </c>
      <c r="B300" s="71"/>
      <c r="C300" s="116"/>
      <c r="D300" s="99" t="s">
        <v>127</v>
      </c>
      <c r="E300" s="193"/>
      <c r="F300" s="99" t="s">
        <v>311</v>
      </c>
      <c r="G300" s="116"/>
      <c r="H300" s="99" t="s">
        <v>146</v>
      </c>
      <c r="I300" s="99">
        <f t="shared" si="23"/>
        <v>0</v>
      </c>
    </row>
    <row r="301" spans="1:9" s="99" customFormat="1" ht="15.75" x14ac:dyDescent="0.25">
      <c r="A301" s="77"/>
      <c r="B301" s="71"/>
      <c r="G301" s="38"/>
    </row>
    <row r="302" spans="1:9" s="99" customFormat="1" ht="15.75" x14ac:dyDescent="0.25">
      <c r="A302" s="77"/>
      <c r="B302" s="71"/>
      <c r="C302" s="183" t="s">
        <v>298</v>
      </c>
      <c r="E302" s="182">
        <f>SUM(I294:I300)</f>
        <v>0</v>
      </c>
      <c r="G302" s="38"/>
    </row>
    <row r="303" spans="1:9" x14ac:dyDescent="0.25">
      <c r="A303" s="37"/>
      <c r="B303" s="37"/>
      <c r="C303" s="37"/>
      <c r="D303" s="37"/>
      <c r="E303" s="37"/>
      <c r="F303" s="83"/>
      <c r="G303" s="37"/>
      <c r="H303" s="37"/>
      <c r="I303" s="161"/>
    </row>
    <row r="304" spans="1:9" ht="15.75" x14ac:dyDescent="0.25">
      <c r="A304" s="3" t="s">
        <v>56</v>
      </c>
      <c r="B304" s="3"/>
      <c r="C304" s="3"/>
      <c r="D304" s="37"/>
      <c r="E304" s="37"/>
      <c r="F304" s="83"/>
      <c r="G304" s="83"/>
      <c r="H304" s="83"/>
      <c r="I304" s="162"/>
    </row>
    <row r="305" spans="1:9" ht="16.5" thickBot="1" x14ac:dyDescent="0.3">
      <c r="A305" s="3" t="s">
        <v>57</v>
      </c>
      <c r="B305" s="37"/>
      <c r="C305" s="37"/>
      <c r="D305" s="37"/>
      <c r="E305" s="37"/>
      <c r="F305" s="37"/>
      <c r="G305" s="83"/>
      <c r="H305" s="37"/>
      <c r="I305" s="37"/>
    </row>
    <row r="306" spans="1:9" ht="16.5" thickBot="1" x14ac:dyDescent="0.3">
      <c r="A306" s="4" t="s">
        <v>143</v>
      </c>
      <c r="B306" s="37"/>
      <c r="C306" s="37"/>
      <c r="D306" s="37"/>
      <c r="E306" s="122">
        <v>1</v>
      </c>
      <c r="H306" s="45"/>
      <c r="I306" s="37"/>
    </row>
    <row r="307" spans="1:9" ht="16.5" thickBot="1" x14ac:dyDescent="0.3">
      <c r="A307" s="4" t="s">
        <v>144</v>
      </c>
      <c r="B307" s="37"/>
      <c r="C307" s="37"/>
      <c r="D307" s="37"/>
      <c r="E307" s="122">
        <v>1</v>
      </c>
      <c r="H307" s="45"/>
      <c r="I307" s="37"/>
    </row>
    <row r="308" spans="1:9" s="99" customFormat="1" ht="16.5" thickBot="1" x14ac:dyDescent="0.3">
      <c r="A308" s="4" t="s">
        <v>291</v>
      </c>
      <c r="B308" s="37"/>
      <c r="C308" s="37"/>
      <c r="D308" s="37"/>
      <c r="E308" s="122">
        <v>1</v>
      </c>
      <c r="H308" s="45"/>
      <c r="I308" s="37"/>
    </row>
    <row r="309" spans="1:9" s="99" customFormat="1" ht="16.5" thickBot="1" x14ac:dyDescent="0.3">
      <c r="A309" s="4" t="s">
        <v>292</v>
      </c>
      <c r="B309" s="37"/>
      <c r="C309" s="37"/>
      <c r="D309" s="37"/>
      <c r="E309" s="122">
        <v>1</v>
      </c>
      <c r="H309" s="45"/>
      <c r="I309" s="37"/>
    </row>
    <row r="310" spans="1:9" ht="16.5" thickBot="1" x14ac:dyDescent="0.3">
      <c r="A310" s="4" t="s">
        <v>145</v>
      </c>
      <c r="B310" s="37"/>
      <c r="C310" s="37"/>
      <c r="D310" s="37"/>
      <c r="E310" s="121">
        <v>4700</v>
      </c>
      <c r="H310" s="46"/>
      <c r="I310" s="37"/>
    </row>
    <row r="311" spans="1:9" x14ac:dyDescent="0.25">
      <c r="A311" s="37"/>
      <c r="B311" s="37"/>
      <c r="C311" s="37"/>
      <c r="D311" s="37"/>
      <c r="E311" s="37"/>
      <c r="H311" s="37"/>
      <c r="I311" s="37"/>
    </row>
    <row r="312" spans="1:9" ht="15.75" x14ac:dyDescent="0.25">
      <c r="A312" s="3" t="s">
        <v>58</v>
      </c>
      <c r="B312" s="37"/>
      <c r="C312" s="37"/>
      <c r="D312" s="37"/>
      <c r="E312" s="37"/>
      <c r="H312" s="37"/>
      <c r="I312" s="37"/>
    </row>
    <row r="313" spans="1:9" s="160" customFormat="1" ht="15.75" x14ac:dyDescent="0.25">
      <c r="A313" s="77"/>
      <c r="B313" s="37"/>
      <c r="C313" s="37"/>
      <c r="D313" s="37"/>
      <c r="E313" s="37"/>
      <c r="H313" s="37"/>
      <c r="I313" s="37"/>
    </row>
    <row r="314" spans="1:9" ht="16.5" thickBot="1" x14ac:dyDescent="0.3">
      <c r="A314" s="3" t="s">
        <v>59</v>
      </c>
      <c r="B314" s="37"/>
      <c r="C314" s="37"/>
      <c r="D314" s="37"/>
      <c r="E314" s="37"/>
      <c r="H314" s="37"/>
      <c r="I314" s="37"/>
    </row>
    <row r="315" spans="1:9" s="89" customFormat="1" ht="16.5" thickBot="1" x14ac:dyDescent="0.3">
      <c r="A315" s="219" t="s">
        <v>355</v>
      </c>
      <c r="B315" s="220"/>
      <c r="C315" s="221"/>
      <c r="D315" s="81"/>
      <c r="E315" s="205">
        <v>100</v>
      </c>
      <c r="F315" s="89" t="s">
        <v>230</v>
      </c>
      <c r="H315" s="168"/>
      <c r="I315" s="81"/>
    </row>
    <row r="316" spans="1:9" s="89" customFormat="1" ht="16.5" thickBot="1" x14ac:dyDescent="0.3">
      <c r="A316" s="219" t="s">
        <v>356</v>
      </c>
      <c r="B316" s="220"/>
      <c r="C316" s="221"/>
      <c r="D316" s="81"/>
      <c r="E316" s="205">
        <v>500</v>
      </c>
      <c r="F316" s="89" t="s">
        <v>230</v>
      </c>
      <c r="H316" s="81"/>
      <c r="I316" s="81"/>
    </row>
    <row r="317" spans="1:9" s="89" customFormat="1" ht="16.5" thickBot="1" x14ac:dyDescent="0.3">
      <c r="A317" s="219" t="s">
        <v>326</v>
      </c>
      <c r="B317" s="220"/>
      <c r="C317" s="221"/>
      <c r="D317" s="81"/>
      <c r="E317" s="205"/>
      <c r="F317" s="89" t="s">
        <v>230</v>
      </c>
      <c r="H317" s="81"/>
      <c r="I317" s="81"/>
    </row>
    <row r="318" spans="1:9" s="89" customFormat="1" ht="16.5" thickBot="1" x14ac:dyDescent="0.3">
      <c r="A318" s="219" t="s">
        <v>326</v>
      </c>
      <c r="B318" s="220"/>
      <c r="C318" s="221"/>
      <c r="D318" s="81"/>
      <c r="E318" s="205"/>
      <c r="F318" s="89" t="s">
        <v>230</v>
      </c>
      <c r="H318" s="81"/>
      <c r="I318" s="81"/>
    </row>
    <row r="319" spans="1:9" s="89" customFormat="1" ht="16.5" thickBot="1" x14ac:dyDescent="0.3">
      <c r="A319" s="219" t="s">
        <v>326</v>
      </c>
      <c r="B319" s="220"/>
      <c r="C319" s="221"/>
      <c r="D319" s="81"/>
      <c r="E319" s="205"/>
      <c r="F319" s="89" t="s">
        <v>230</v>
      </c>
      <c r="H319" s="81"/>
      <c r="I319" s="81"/>
    </row>
    <row r="320" spans="1:9" s="89" customFormat="1" ht="15.75" x14ac:dyDescent="0.25">
      <c r="A320" s="210"/>
      <c r="B320" s="210"/>
      <c r="C320" s="210"/>
      <c r="D320" s="81"/>
      <c r="E320" s="145"/>
      <c r="H320" s="81"/>
      <c r="I320" s="81"/>
    </row>
    <row r="321" spans="1:9" s="89" customFormat="1" ht="16.5" thickBot="1" x14ac:dyDescent="0.3">
      <c r="A321" s="159" t="s">
        <v>60</v>
      </c>
      <c r="B321" s="81"/>
      <c r="C321" s="81"/>
      <c r="D321" s="81"/>
      <c r="E321" s="81"/>
      <c r="H321" s="81"/>
      <c r="I321" s="81"/>
    </row>
    <row r="322" spans="1:9" s="89" customFormat="1" ht="16.5" thickBot="1" x14ac:dyDescent="0.3">
      <c r="A322" s="219" t="s">
        <v>357</v>
      </c>
      <c r="B322" s="220"/>
      <c r="C322" s="221"/>
      <c r="D322" s="81"/>
      <c r="E322" s="205">
        <v>600</v>
      </c>
      <c r="F322" s="89" t="s">
        <v>230</v>
      </c>
      <c r="H322" s="168"/>
      <c r="I322" s="81"/>
    </row>
    <row r="323" spans="1:9" s="89" customFormat="1" ht="16.5" thickBot="1" x14ac:dyDescent="0.3">
      <c r="A323" s="219" t="s">
        <v>359</v>
      </c>
      <c r="B323" s="220"/>
      <c r="C323" s="221"/>
      <c r="D323" s="81"/>
      <c r="E323" s="205">
        <v>700</v>
      </c>
      <c r="F323" s="89" t="s">
        <v>230</v>
      </c>
      <c r="H323" s="168"/>
      <c r="I323" s="81"/>
    </row>
    <row r="324" spans="1:9" s="89" customFormat="1" ht="16.5" thickBot="1" x14ac:dyDescent="0.3">
      <c r="A324" s="222" t="s">
        <v>361</v>
      </c>
      <c r="B324" s="223"/>
      <c r="C324" s="224"/>
      <c r="D324" s="81"/>
      <c r="E324" s="205">
        <v>300</v>
      </c>
      <c r="F324" s="89" t="s">
        <v>230</v>
      </c>
      <c r="H324" s="168"/>
      <c r="I324" s="81"/>
    </row>
    <row r="325" spans="1:9" s="89" customFormat="1" ht="16.5" thickBot="1" x14ac:dyDescent="0.3">
      <c r="A325" s="225"/>
      <c r="B325" s="226"/>
      <c r="C325" s="227"/>
      <c r="D325" s="81"/>
      <c r="E325" s="168"/>
      <c r="H325" s="168"/>
      <c r="I325" s="81"/>
    </row>
    <row r="326" spans="1:9" s="89" customFormat="1" ht="16.5" thickBot="1" x14ac:dyDescent="0.3">
      <c r="A326" s="219" t="s">
        <v>360</v>
      </c>
      <c r="B326" s="220"/>
      <c r="C326" s="221"/>
      <c r="D326" s="81"/>
      <c r="E326" s="205">
        <v>100</v>
      </c>
      <c r="F326" s="89" t="s">
        <v>230</v>
      </c>
      <c r="H326" s="168"/>
      <c r="I326" s="81"/>
    </row>
    <row r="327" spans="1:9" s="89" customFormat="1" ht="16.5" thickBot="1" x14ac:dyDescent="0.3">
      <c r="A327" s="219" t="s">
        <v>326</v>
      </c>
      <c r="B327" s="220"/>
      <c r="C327" s="221"/>
      <c r="D327" s="81"/>
      <c r="E327" s="205"/>
      <c r="F327" s="89" t="s">
        <v>230</v>
      </c>
      <c r="H327" s="168"/>
      <c r="I327" s="81"/>
    </row>
    <row r="328" spans="1:9" s="89" customFormat="1" ht="16.5" thickBot="1" x14ac:dyDescent="0.3">
      <c r="A328" s="219" t="s">
        <v>326</v>
      </c>
      <c r="B328" s="220"/>
      <c r="C328" s="221"/>
      <c r="D328" s="81"/>
      <c r="E328" s="205"/>
      <c r="F328" s="89" t="s">
        <v>230</v>
      </c>
      <c r="H328" s="168"/>
      <c r="I328" s="81"/>
    </row>
    <row r="329" spans="1:9" x14ac:dyDescent="0.25">
      <c r="A329" s="37"/>
      <c r="B329" s="37"/>
      <c r="C329" s="37"/>
      <c r="D329" s="37"/>
      <c r="E329" s="37"/>
      <c r="H329" s="37"/>
      <c r="I329" s="37"/>
    </row>
    <row r="330" spans="1:9" ht="16.5" thickBot="1" x14ac:dyDescent="0.3">
      <c r="A330" s="3" t="s">
        <v>61</v>
      </c>
      <c r="B330" s="37"/>
      <c r="C330" s="37"/>
      <c r="D330" s="37"/>
      <c r="E330" s="48" t="s">
        <v>0</v>
      </c>
      <c r="H330" s="47"/>
      <c r="I330" s="37"/>
    </row>
    <row r="331" spans="1:9" ht="16.5" thickBot="1" x14ac:dyDescent="0.3">
      <c r="A331" s="4" t="s">
        <v>62</v>
      </c>
      <c r="B331" s="37"/>
      <c r="C331" s="37"/>
      <c r="D331" s="37"/>
      <c r="E331" s="121">
        <v>80</v>
      </c>
      <c r="F331" s="26" t="s">
        <v>84</v>
      </c>
      <c r="H331" s="46"/>
      <c r="I331" s="37"/>
    </row>
    <row r="332" spans="1:9" ht="16.5" thickBot="1" x14ac:dyDescent="0.3">
      <c r="A332" s="4" t="s">
        <v>358</v>
      </c>
      <c r="B332" s="37"/>
      <c r="C332" s="37"/>
      <c r="D332" s="37"/>
      <c r="E332" s="121">
        <v>120</v>
      </c>
      <c r="F332" s="26" t="s">
        <v>231</v>
      </c>
      <c r="H332" s="46"/>
      <c r="I332" s="37"/>
    </row>
    <row r="333" spans="1:9" ht="16.5" thickBot="1" x14ac:dyDescent="0.3">
      <c r="A333" s="4" t="s">
        <v>63</v>
      </c>
      <c r="B333" s="37"/>
      <c r="C333" s="37"/>
      <c r="D333" s="37"/>
      <c r="E333" s="121">
        <v>2</v>
      </c>
      <c r="H333" s="39"/>
      <c r="I333" s="37"/>
    </row>
    <row r="334" spans="1:9" x14ac:dyDescent="0.25">
      <c r="A334" s="37"/>
      <c r="B334" s="37"/>
      <c r="C334" s="37"/>
      <c r="D334" s="37"/>
      <c r="E334" s="37"/>
      <c r="H334" s="37"/>
      <c r="I334" s="37"/>
    </row>
    <row r="335" spans="1:9" ht="16.5" thickBot="1" x14ac:dyDescent="0.3">
      <c r="A335" s="3" t="s">
        <v>64</v>
      </c>
      <c r="B335" s="37"/>
      <c r="C335" s="37"/>
      <c r="D335" s="37"/>
      <c r="E335" s="37"/>
      <c r="H335" s="37"/>
      <c r="I335" s="37"/>
    </row>
    <row r="336" spans="1:9" ht="16.5" thickBot="1" x14ac:dyDescent="0.3">
      <c r="A336" s="4" t="s">
        <v>65</v>
      </c>
      <c r="B336" s="37"/>
      <c r="C336" s="37"/>
      <c r="D336" s="37"/>
      <c r="E336" s="121">
        <v>1600</v>
      </c>
      <c r="F336" s="74" t="s">
        <v>233</v>
      </c>
      <c r="G336" s="49"/>
      <c r="H336" s="46"/>
      <c r="I336" s="37"/>
    </row>
    <row r="337" spans="1:9" ht="16.5" thickBot="1" x14ac:dyDescent="0.3">
      <c r="A337" s="4" t="s">
        <v>66</v>
      </c>
      <c r="B337" s="37"/>
      <c r="C337" s="37"/>
      <c r="D337" s="37"/>
      <c r="E337" s="121">
        <v>7000</v>
      </c>
      <c r="F337" s="74" t="s">
        <v>233</v>
      </c>
      <c r="H337" s="46"/>
      <c r="I337" s="37"/>
    </row>
    <row r="338" spans="1:9" x14ac:dyDescent="0.25">
      <c r="A338" s="37"/>
      <c r="B338" s="37"/>
      <c r="C338" s="37"/>
      <c r="D338" s="37"/>
      <c r="E338" s="47"/>
      <c r="H338" s="47"/>
      <c r="I338" s="37"/>
    </row>
    <row r="339" spans="1:9" ht="16.5" thickBot="1" x14ac:dyDescent="0.3">
      <c r="A339" s="3" t="s">
        <v>67</v>
      </c>
      <c r="B339" s="37"/>
      <c r="C339" s="37"/>
      <c r="D339" s="37"/>
      <c r="E339" s="47"/>
      <c r="H339" s="47"/>
      <c r="I339" s="37"/>
    </row>
    <row r="340" spans="1:9" ht="16.5" thickBot="1" x14ac:dyDescent="0.3">
      <c r="A340" s="4" t="s">
        <v>362</v>
      </c>
      <c r="B340" s="37"/>
      <c r="C340" s="37"/>
      <c r="D340" s="37"/>
      <c r="E340" s="121">
        <f>500000-235000</f>
        <v>265000</v>
      </c>
      <c r="F340" s="74" t="s">
        <v>233</v>
      </c>
      <c r="H340" s="46"/>
      <c r="I340" s="37"/>
    </row>
    <row r="341" spans="1:9" ht="16.5" thickBot="1" x14ac:dyDescent="0.3">
      <c r="A341" s="4" t="s">
        <v>68</v>
      </c>
      <c r="B341" s="37"/>
      <c r="C341" s="37"/>
      <c r="D341" s="37"/>
      <c r="E341" s="121">
        <v>245000</v>
      </c>
      <c r="F341" s="74" t="s">
        <v>233</v>
      </c>
      <c r="H341" s="46"/>
      <c r="I341" s="37"/>
    </row>
    <row r="342" spans="1:9" ht="15.75" x14ac:dyDescent="0.25">
      <c r="A342" s="4" t="s">
        <v>354</v>
      </c>
      <c r="B342" s="37"/>
      <c r="C342" s="37"/>
      <c r="D342" s="37"/>
      <c r="E342" s="102">
        <f>Детали!F401</f>
        <v>1930.44</v>
      </c>
      <c r="F342" s="74" t="s">
        <v>233</v>
      </c>
      <c r="H342" s="46"/>
      <c r="I342" s="37"/>
    </row>
    <row r="343" spans="1:9" x14ac:dyDescent="0.25">
      <c r="A343" s="37"/>
      <c r="B343" s="37"/>
      <c r="C343" s="37"/>
      <c r="D343" s="37"/>
      <c r="E343" s="47"/>
      <c r="H343" s="47"/>
      <c r="I343" s="37"/>
    </row>
    <row r="344" spans="1:9" ht="15.75" x14ac:dyDescent="0.25">
      <c r="A344" s="3" t="s">
        <v>70</v>
      </c>
      <c r="B344" s="37"/>
      <c r="C344" s="37"/>
      <c r="D344" s="37"/>
      <c r="E344" s="47"/>
      <c r="H344" s="47"/>
      <c r="I344" s="37"/>
    </row>
    <row r="345" spans="1:9" ht="16.5" thickBot="1" x14ac:dyDescent="0.3">
      <c r="A345" s="4" t="s">
        <v>234</v>
      </c>
      <c r="B345" s="37"/>
      <c r="C345" s="37"/>
      <c r="D345" s="37"/>
      <c r="E345" s="47"/>
      <c r="H345" s="47"/>
      <c r="I345" s="37"/>
    </row>
    <row r="346" spans="1:9" s="89" customFormat="1" ht="16.5" thickBot="1" x14ac:dyDescent="0.3">
      <c r="A346" s="88" t="s">
        <v>235</v>
      </c>
      <c r="B346" s="81"/>
      <c r="C346" s="81"/>
      <c r="D346" s="81"/>
      <c r="E346" s="167">
        <v>9500</v>
      </c>
      <c r="F346" s="89" t="s">
        <v>206</v>
      </c>
      <c r="H346" s="168"/>
      <c r="I346" s="81"/>
    </row>
    <row r="347" spans="1:9" s="89" customFormat="1" ht="16.5" thickBot="1" x14ac:dyDescent="0.3">
      <c r="A347" s="88" t="s">
        <v>69</v>
      </c>
      <c r="B347" s="81"/>
      <c r="C347" s="81"/>
      <c r="D347" s="81"/>
      <c r="E347" s="167">
        <v>500</v>
      </c>
      <c r="F347" s="89" t="s">
        <v>124</v>
      </c>
      <c r="H347" s="169"/>
      <c r="I347" s="81"/>
    </row>
    <row r="348" spans="1:9" x14ac:dyDescent="0.25">
      <c r="A348" s="37"/>
      <c r="B348" s="37"/>
      <c r="C348" s="37"/>
      <c r="D348" s="37"/>
      <c r="E348" s="37"/>
      <c r="H348" s="37"/>
      <c r="I348" s="37"/>
    </row>
    <row r="349" spans="1:9" ht="16.5" thickBot="1" x14ac:dyDescent="0.3">
      <c r="A349" s="3" t="s">
        <v>71</v>
      </c>
      <c r="B349" s="37"/>
      <c r="C349" s="37"/>
      <c r="D349" s="37"/>
      <c r="E349" s="47"/>
      <c r="H349" s="47"/>
      <c r="I349" s="37"/>
    </row>
    <row r="350" spans="1:9" ht="16.5" thickBot="1" x14ac:dyDescent="0.3">
      <c r="A350" s="4" t="s">
        <v>72</v>
      </c>
      <c r="B350" s="37"/>
      <c r="C350" s="37"/>
      <c r="D350" s="37"/>
      <c r="E350" s="121">
        <v>308000</v>
      </c>
      <c r="F350" s="74" t="s">
        <v>206</v>
      </c>
      <c r="H350" s="46"/>
      <c r="I350" s="37"/>
    </row>
    <row r="351" spans="1:9" ht="16.5" thickBot="1" x14ac:dyDescent="0.3">
      <c r="A351" s="4" t="s">
        <v>73</v>
      </c>
      <c r="B351" s="37"/>
      <c r="C351" s="37"/>
      <c r="D351" s="37"/>
      <c r="E351" s="121">
        <v>227150</v>
      </c>
      <c r="F351" s="74" t="s">
        <v>206</v>
      </c>
      <c r="G351" s="78"/>
      <c r="H351" s="46"/>
      <c r="I351" s="37"/>
    </row>
    <row r="352" spans="1:9" ht="16.5" thickBot="1" x14ac:dyDescent="0.3">
      <c r="A352" s="4" t="s">
        <v>74</v>
      </c>
      <c r="B352" s="37"/>
      <c r="C352" s="37"/>
      <c r="D352" s="37"/>
      <c r="E352" s="121">
        <v>192500</v>
      </c>
      <c r="F352" s="74" t="s">
        <v>206</v>
      </c>
      <c r="G352" s="78"/>
      <c r="H352" s="46"/>
      <c r="I352" s="37"/>
    </row>
    <row r="353" spans="1:9" x14ac:dyDescent="0.25">
      <c r="A353" s="37"/>
      <c r="B353" s="37"/>
      <c r="C353" s="37"/>
      <c r="D353" s="37"/>
      <c r="E353" s="37"/>
      <c r="H353" s="37"/>
      <c r="I353" s="37"/>
    </row>
    <row r="354" spans="1:9" ht="15.75" x14ac:dyDescent="0.25">
      <c r="A354" s="3" t="s">
        <v>56</v>
      </c>
      <c r="B354" s="37"/>
      <c r="C354" s="37"/>
      <c r="D354" s="37"/>
      <c r="E354" s="37"/>
      <c r="H354" s="37"/>
      <c r="I354" s="37"/>
    </row>
    <row r="355" spans="1:9" ht="16.5" thickBot="1" x14ac:dyDescent="0.3">
      <c r="A355" s="3" t="s">
        <v>75</v>
      </c>
      <c r="B355" s="37"/>
      <c r="C355" s="37"/>
      <c r="D355" s="37"/>
      <c r="E355" s="37"/>
      <c r="H355" s="37"/>
      <c r="I355" s="37"/>
    </row>
    <row r="356" spans="1:9" ht="16.5" thickBot="1" x14ac:dyDescent="0.3">
      <c r="A356" s="4" t="s">
        <v>76</v>
      </c>
      <c r="B356" s="37"/>
      <c r="C356" s="37"/>
      <c r="D356" s="37"/>
      <c r="E356" s="121">
        <v>130000</v>
      </c>
      <c r="F356" s="74" t="s">
        <v>206</v>
      </c>
      <c r="H356" s="41"/>
      <c r="I356" s="37"/>
    </row>
    <row r="357" spans="1:9" ht="16.5" thickBot="1" x14ac:dyDescent="0.3">
      <c r="A357" s="4" t="s">
        <v>79</v>
      </c>
      <c r="B357" s="37"/>
      <c r="C357" s="37"/>
      <c r="D357" s="37"/>
      <c r="E357" s="121">
        <v>120000</v>
      </c>
      <c r="F357" s="74" t="s">
        <v>206</v>
      </c>
      <c r="G357" s="78"/>
      <c r="H357" s="41"/>
      <c r="I357" s="37"/>
    </row>
    <row r="358" spans="1:9" ht="16.5" thickBot="1" x14ac:dyDescent="0.3">
      <c r="A358" s="4" t="s">
        <v>77</v>
      </c>
      <c r="B358" s="37"/>
      <c r="C358" s="37"/>
      <c r="D358" s="37"/>
      <c r="E358" s="121">
        <v>120000</v>
      </c>
      <c r="F358" s="74" t="s">
        <v>206</v>
      </c>
      <c r="G358" s="78"/>
      <c r="H358" s="41"/>
      <c r="I358" s="37"/>
    </row>
    <row r="359" spans="1:9" ht="16.5" thickBot="1" x14ac:dyDescent="0.3">
      <c r="A359" s="4" t="s">
        <v>78</v>
      </c>
      <c r="B359" s="37"/>
      <c r="C359" s="37"/>
      <c r="D359" s="37"/>
      <c r="E359" s="121">
        <v>120000</v>
      </c>
      <c r="F359" s="74" t="s">
        <v>206</v>
      </c>
      <c r="G359" s="78"/>
      <c r="H359" s="41"/>
      <c r="I359" s="37"/>
    </row>
    <row r="360" spans="1:9" x14ac:dyDescent="0.25">
      <c r="A360" s="37"/>
      <c r="B360" s="37"/>
      <c r="C360" s="37"/>
      <c r="D360" s="37"/>
      <c r="E360" s="37"/>
      <c r="H360" s="37"/>
      <c r="I360" s="37"/>
    </row>
    <row r="361" spans="1:9" ht="15.75" x14ac:dyDescent="0.25">
      <c r="A361" s="3" t="s">
        <v>237</v>
      </c>
      <c r="B361" s="37"/>
      <c r="C361" s="37"/>
      <c r="D361" s="37"/>
      <c r="E361" s="37"/>
      <c r="H361" s="37"/>
      <c r="I361" s="37"/>
    </row>
    <row r="362" spans="1:9" ht="15.75" x14ac:dyDescent="0.25">
      <c r="A362" s="4" t="s">
        <v>238</v>
      </c>
      <c r="B362" s="37"/>
      <c r="C362" s="37"/>
      <c r="D362" s="37"/>
      <c r="E362" s="37"/>
      <c r="H362" s="37"/>
      <c r="I362" s="37"/>
    </row>
    <row r="363" spans="1:9" ht="16.5" thickBot="1" x14ac:dyDescent="0.3">
      <c r="A363" s="4" t="s">
        <v>80</v>
      </c>
      <c r="B363" s="37"/>
      <c r="C363" s="37"/>
      <c r="D363" s="37"/>
      <c r="E363" s="50">
        <f>ROUND(E14*E20/100,0)</f>
        <v>55</v>
      </c>
      <c r="F363" s="26" t="s">
        <v>124</v>
      </c>
      <c r="H363" s="39"/>
      <c r="I363" s="37"/>
    </row>
    <row r="364" spans="1:9" ht="16.5" thickBot="1" x14ac:dyDescent="0.3">
      <c r="A364" s="4" t="s">
        <v>81</v>
      </c>
      <c r="B364" s="37"/>
      <c r="C364" s="37"/>
      <c r="D364" s="37"/>
      <c r="E364" s="128">
        <v>6000</v>
      </c>
      <c r="F364" s="26" t="s">
        <v>226</v>
      </c>
      <c r="H364" s="46"/>
      <c r="I364" s="37"/>
    </row>
    <row r="365" spans="1:9" x14ac:dyDescent="0.25">
      <c r="A365" s="37"/>
      <c r="B365" s="37"/>
      <c r="C365" s="37"/>
      <c r="D365" s="37"/>
      <c r="E365" s="47"/>
      <c r="H365" s="47"/>
      <c r="I365" s="37"/>
    </row>
    <row r="366" spans="1:9" ht="16.5" thickBot="1" x14ac:dyDescent="0.3">
      <c r="A366" s="3" t="s">
        <v>82</v>
      </c>
      <c r="B366" s="37"/>
      <c r="C366" s="37"/>
      <c r="D366" s="37"/>
      <c r="H366" s="46"/>
      <c r="I366" s="37"/>
    </row>
    <row r="367" spans="1:9" ht="16.5" thickBot="1" x14ac:dyDescent="0.3">
      <c r="A367" s="4" t="s">
        <v>83</v>
      </c>
      <c r="B367" s="37"/>
      <c r="C367" s="37"/>
      <c r="D367" s="37"/>
      <c r="E367" s="121">
        <v>462000</v>
      </c>
      <c r="F367" s="26" t="s">
        <v>206</v>
      </c>
      <c r="H367" s="37"/>
      <c r="I367" s="37"/>
    </row>
    <row r="368" spans="1:9" ht="16.5" thickBot="1" x14ac:dyDescent="0.3">
      <c r="A368" s="4"/>
      <c r="B368" s="37"/>
      <c r="C368" s="37"/>
      <c r="D368" s="37"/>
      <c r="H368" s="37"/>
      <c r="I368" s="37"/>
    </row>
    <row r="369" spans="1:9" s="160" customFormat="1" ht="16.5" thickBot="1" x14ac:dyDescent="0.3">
      <c r="A369" s="4" t="s">
        <v>352</v>
      </c>
      <c r="B369" s="37"/>
      <c r="C369" s="37"/>
      <c r="D369" s="37"/>
      <c r="E369" s="204">
        <v>27000000</v>
      </c>
      <c r="F369" s="160" t="s">
        <v>206</v>
      </c>
      <c r="H369" s="37"/>
      <c r="I369" s="37"/>
    </row>
    <row r="370" spans="1:9" s="99" customFormat="1" ht="16.5" thickBot="1" x14ac:dyDescent="0.3">
      <c r="A370" s="4" t="s">
        <v>252</v>
      </c>
      <c r="B370" s="37"/>
      <c r="C370" s="37"/>
      <c r="D370" s="37"/>
      <c r="E370" s="204">
        <v>7</v>
      </c>
      <c r="F370" s="99" t="s">
        <v>97</v>
      </c>
      <c r="H370" s="37"/>
      <c r="I370" s="37"/>
    </row>
    <row r="371" spans="1:9" s="89" customFormat="1" ht="16.5" thickBot="1" x14ac:dyDescent="0.3">
      <c r="A371" s="88" t="s">
        <v>254</v>
      </c>
      <c r="B371" s="81"/>
      <c r="C371" s="81"/>
      <c r="D371" s="81"/>
      <c r="E371" s="203">
        <v>2.5</v>
      </c>
      <c r="F371" s="89" t="s">
        <v>1</v>
      </c>
      <c r="H371" s="81"/>
      <c r="I371" s="81"/>
    </row>
    <row r="372" spans="1:9" x14ac:dyDescent="0.25">
      <c r="A372" s="243" t="s">
        <v>303</v>
      </c>
      <c r="B372" s="243"/>
      <c r="C372" s="243"/>
      <c r="D372" s="243"/>
      <c r="E372" s="42" t="s">
        <v>0</v>
      </c>
      <c r="H372" s="42"/>
      <c r="I372" s="37" t="s">
        <v>0</v>
      </c>
    </row>
    <row r="373" spans="1:9" s="99" customFormat="1" x14ac:dyDescent="0.25">
      <c r="A373" s="170"/>
      <c r="B373" s="170"/>
      <c r="C373" s="170"/>
      <c r="D373" s="170"/>
      <c r="E373" s="42"/>
      <c r="H373" s="42"/>
      <c r="I373" s="37"/>
    </row>
    <row r="374" spans="1:9" ht="16.5" thickBot="1" x14ac:dyDescent="0.3">
      <c r="A374" s="3" t="s">
        <v>85</v>
      </c>
      <c r="B374" s="37"/>
      <c r="C374" s="37"/>
      <c r="D374" s="37"/>
      <c r="E374" s="42" t="s">
        <v>0</v>
      </c>
      <c r="H374" s="42"/>
      <c r="I374" s="37" t="s">
        <v>0</v>
      </c>
    </row>
    <row r="375" spans="1:9" ht="16.5" thickBot="1" x14ac:dyDescent="0.3">
      <c r="A375" s="4" t="s">
        <v>227</v>
      </c>
      <c r="B375" s="37"/>
      <c r="C375" s="37"/>
      <c r="D375" s="37"/>
      <c r="E375" s="121">
        <v>2200000</v>
      </c>
      <c r="F375" s="26" t="s">
        <v>206</v>
      </c>
      <c r="G375" s="92"/>
      <c r="H375" s="46"/>
      <c r="I375" s="37"/>
    </row>
    <row r="376" spans="1:9" ht="15.75" x14ac:dyDescent="0.25">
      <c r="A376" s="4"/>
      <c r="B376" s="37"/>
      <c r="C376" s="37"/>
      <c r="D376" s="37"/>
      <c r="E376" s="37"/>
      <c r="H376" s="37"/>
      <c r="I376" s="37"/>
    </row>
    <row r="377" spans="1:9" ht="16.5" thickBot="1" x14ac:dyDescent="0.3">
      <c r="A377" s="3" t="s">
        <v>86</v>
      </c>
      <c r="B377" s="37"/>
      <c r="C377" s="37"/>
      <c r="D377" s="37"/>
      <c r="H377" s="46"/>
      <c r="I377" s="37"/>
    </row>
    <row r="378" spans="1:9" ht="16.5" thickBot="1" x14ac:dyDescent="0.3">
      <c r="A378" s="4" t="s">
        <v>87</v>
      </c>
      <c r="B378" s="37"/>
      <c r="C378" s="37"/>
      <c r="D378" s="37"/>
      <c r="E378" s="123">
        <v>160000</v>
      </c>
      <c r="F378" s="74" t="s">
        <v>206</v>
      </c>
      <c r="H378" s="47"/>
      <c r="I378" s="37"/>
    </row>
    <row r="379" spans="1:9" x14ac:dyDescent="0.25">
      <c r="A379" s="37"/>
      <c r="B379" s="37"/>
      <c r="C379" s="37"/>
      <c r="D379" s="37"/>
      <c r="E379" s="37"/>
      <c r="G379" s="51"/>
      <c r="H379" s="37"/>
      <c r="I379" s="37"/>
    </row>
    <row r="380" spans="1:9" ht="16.5" thickBot="1" x14ac:dyDescent="0.3">
      <c r="A380" s="3" t="s">
        <v>88</v>
      </c>
      <c r="B380" s="37"/>
      <c r="C380" s="37"/>
      <c r="D380" s="37"/>
      <c r="H380" s="46"/>
      <c r="I380" s="37"/>
    </row>
    <row r="381" spans="1:9" ht="16.5" thickBot="1" x14ac:dyDescent="0.3">
      <c r="A381" s="4" t="s">
        <v>224</v>
      </c>
      <c r="B381" s="37"/>
      <c r="C381" s="37"/>
      <c r="D381" s="37"/>
      <c r="E381" s="123">
        <v>400000</v>
      </c>
      <c r="F381" s="26" t="s">
        <v>226</v>
      </c>
      <c r="H381" s="46"/>
      <c r="I381" s="37"/>
    </row>
    <row r="382" spans="1:9" ht="16.5" thickBot="1" x14ac:dyDescent="0.3">
      <c r="A382" s="4" t="s">
        <v>307</v>
      </c>
      <c r="B382" s="37"/>
      <c r="C382" s="37"/>
      <c r="D382" s="37"/>
      <c r="E382" s="123">
        <f>600000-235000</f>
        <v>365000</v>
      </c>
      <c r="F382" s="74" t="s">
        <v>226</v>
      </c>
      <c r="H382" s="46"/>
      <c r="I382" s="37"/>
    </row>
    <row r="383" spans="1:9" ht="16.5" thickBot="1" x14ac:dyDescent="0.3">
      <c r="A383" s="4" t="s">
        <v>225</v>
      </c>
      <c r="B383" s="37"/>
      <c r="C383" s="37"/>
      <c r="D383" s="37"/>
      <c r="E383" s="123">
        <v>220000</v>
      </c>
      <c r="F383" s="74" t="s">
        <v>226</v>
      </c>
      <c r="H383" s="37"/>
      <c r="I383" s="37"/>
    </row>
    <row r="384" spans="1:9" ht="16.5" thickBot="1" x14ac:dyDescent="0.3">
      <c r="A384" s="4" t="s">
        <v>223</v>
      </c>
      <c r="B384" s="37"/>
      <c r="C384" s="37"/>
      <c r="D384" s="37"/>
      <c r="E384" s="123">
        <v>600000</v>
      </c>
      <c r="F384" s="99" t="s">
        <v>226</v>
      </c>
      <c r="G384" s="37"/>
      <c r="H384" s="37"/>
      <c r="I384" s="37"/>
    </row>
    <row r="385" spans="1:10" s="99" customFormat="1" ht="15.75" x14ac:dyDescent="0.25">
      <c r="A385" s="4"/>
      <c r="B385" s="37"/>
      <c r="C385" s="37"/>
      <c r="D385" s="37"/>
      <c r="E385" s="37"/>
      <c r="F385" s="37"/>
      <c r="G385" s="37"/>
      <c r="H385" s="37"/>
      <c r="I385" s="37"/>
    </row>
    <row r="386" spans="1:10" ht="15.75" x14ac:dyDescent="0.25">
      <c r="A386" s="3" t="s">
        <v>89</v>
      </c>
      <c r="B386" s="37"/>
      <c r="C386" s="37"/>
      <c r="J386" s="49"/>
    </row>
    <row r="387" spans="1:10" ht="49.5" customHeight="1" thickBot="1" x14ac:dyDescent="0.3">
      <c r="A387" s="3" t="s">
        <v>90</v>
      </c>
      <c r="B387" s="37"/>
      <c r="C387" s="37"/>
      <c r="D387" s="72" t="s">
        <v>94</v>
      </c>
      <c r="E387" s="52"/>
      <c r="F387" s="230" t="s">
        <v>95</v>
      </c>
      <c r="G387" s="231"/>
      <c r="H387" s="232" t="s">
        <v>96</v>
      </c>
      <c r="I387" s="233"/>
    </row>
    <row r="388" spans="1:10" ht="16.5" thickBot="1" x14ac:dyDescent="0.3">
      <c r="A388" s="237" t="s">
        <v>91</v>
      </c>
      <c r="B388" s="238"/>
      <c r="C388" s="239"/>
      <c r="D388" s="123">
        <v>10000000</v>
      </c>
      <c r="E388" s="77" t="s">
        <v>206</v>
      </c>
      <c r="F388" s="116">
        <v>0</v>
      </c>
      <c r="G388" s="4" t="s">
        <v>1</v>
      </c>
      <c r="H388" s="116">
        <v>20</v>
      </c>
      <c r="I388" s="26" t="s">
        <v>97</v>
      </c>
    </row>
    <row r="389" spans="1:10" ht="16.5" thickBot="1" x14ac:dyDescent="0.3">
      <c r="A389" s="237" t="s">
        <v>92</v>
      </c>
      <c r="B389" s="238"/>
      <c r="C389" s="239"/>
      <c r="D389" s="123">
        <v>5000000</v>
      </c>
      <c r="E389" s="77" t="s">
        <v>206</v>
      </c>
      <c r="F389" s="116">
        <v>0</v>
      </c>
      <c r="G389" s="4" t="s">
        <v>1</v>
      </c>
      <c r="H389" s="116">
        <v>20</v>
      </c>
      <c r="I389" s="26" t="s">
        <v>97</v>
      </c>
    </row>
    <row r="390" spans="1:10" ht="16.5" thickBot="1" x14ac:dyDescent="0.3">
      <c r="A390" s="237" t="s">
        <v>93</v>
      </c>
      <c r="B390" s="238"/>
      <c r="C390" s="239"/>
      <c r="D390" s="123">
        <v>2000000</v>
      </c>
      <c r="E390" s="77" t="s">
        <v>206</v>
      </c>
      <c r="F390" s="116">
        <v>0</v>
      </c>
      <c r="G390" s="4" t="s">
        <v>1</v>
      </c>
      <c r="H390" s="116">
        <v>20</v>
      </c>
      <c r="I390" s="26" t="s">
        <v>97</v>
      </c>
    </row>
    <row r="391" spans="1:10" ht="32.25" customHeight="1" thickBot="1" x14ac:dyDescent="0.3">
      <c r="A391" s="237" t="s">
        <v>277</v>
      </c>
      <c r="B391" s="238"/>
      <c r="C391" s="239"/>
      <c r="D391" s="123">
        <v>5400000</v>
      </c>
      <c r="E391" s="77" t="s">
        <v>206</v>
      </c>
      <c r="F391" s="116">
        <v>0</v>
      </c>
      <c r="G391" s="4" t="s">
        <v>1</v>
      </c>
      <c r="H391" s="116">
        <v>20</v>
      </c>
      <c r="I391" s="26" t="s">
        <v>97</v>
      </c>
    </row>
    <row r="392" spans="1:10" ht="16.5" thickBot="1" x14ac:dyDescent="0.3">
      <c r="A392" s="237" t="s">
        <v>178</v>
      </c>
      <c r="B392" s="238"/>
      <c r="C392" s="239"/>
      <c r="D392" s="123">
        <v>4500000</v>
      </c>
      <c r="E392" s="77" t="s">
        <v>206</v>
      </c>
      <c r="F392" s="116">
        <v>0</v>
      </c>
      <c r="G392" s="4" t="s">
        <v>1</v>
      </c>
      <c r="H392" s="116">
        <v>20</v>
      </c>
      <c r="I392" s="26" t="s">
        <v>97</v>
      </c>
    </row>
    <row r="393" spans="1:10" ht="16.5" thickBot="1" x14ac:dyDescent="0.3">
      <c r="A393" s="237" t="s">
        <v>125</v>
      </c>
      <c r="B393" s="238"/>
      <c r="C393" s="239"/>
      <c r="D393" s="123">
        <f>5000*154</f>
        <v>770000</v>
      </c>
      <c r="E393" s="77" t="s">
        <v>206</v>
      </c>
      <c r="F393" s="116">
        <v>0</v>
      </c>
      <c r="G393" s="4" t="s">
        <v>1</v>
      </c>
      <c r="H393" s="116">
        <v>20</v>
      </c>
      <c r="I393" s="26" t="s">
        <v>97</v>
      </c>
    </row>
    <row r="394" spans="1:10" ht="16.5" thickBot="1" x14ac:dyDescent="0.3">
      <c r="A394" s="237" t="s">
        <v>103</v>
      </c>
      <c r="B394" s="238"/>
      <c r="C394" s="239"/>
      <c r="D394" s="123">
        <f>4000*154</f>
        <v>616000</v>
      </c>
      <c r="E394" s="77" t="s">
        <v>206</v>
      </c>
      <c r="F394" s="116">
        <v>0</v>
      </c>
      <c r="G394" s="4" t="s">
        <v>1</v>
      </c>
      <c r="H394" s="116">
        <v>20</v>
      </c>
      <c r="I394" s="26" t="s">
        <v>97</v>
      </c>
    </row>
    <row r="395" spans="1:10" ht="52.5" customHeight="1" thickBot="1" x14ac:dyDescent="0.3">
      <c r="A395" s="237" t="s">
        <v>276</v>
      </c>
      <c r="B395" s="238"/>
      <c r="C395" s="239"/>
      <c r="D395" s="123">
        <v>10827500</v>
      </c>
      <c r="E395" s="77" t="s">
        <v>206</v>
      </c>
      <c r="F395" s="116">
        <v>0</v>
      </c>
      <c r="G395" s="4" t="s">
        <v>1</v>
      </c>
      <c r="H395" s="116">
        <v>20</v>
      </c>
      <c r="I395" s="26" t="s">
        <v>97</v>
      </c>
    </row>
    <row r="396" spans="1:10" ht="16.5" thickBot="1" x14ac:dyDescent="0.3">
      <c r="A396" s="237" t="s">
        <v>104</v>
      </c>
      <c r="B396" s="238"/>
      <c r="C396" s="239"/>
      <c r="D396" s="123">
        <v>6000000</v>
      </c>
      <c r="E396" s="77" t="s">
        <v>206</v>
      </c>
      <c r="F396" s="116">
        <v>0</v>
      </c>
      <c r="G396" s="4" t="s">
        <v>1</v>
      </c>
      <c r="H396" s="116">
        <v>20</v>
      </c>
      <c r="I396" s="26" t="s">
        <v>97</v>
      </c>
    </row>
    <row r="397" spans="1:10" ht="30.75" customHeight="1" thickBot="1" x14ac:dyDescent="0.3">
      <c r="A397" s="237" t="s">
        <v>275</v>
      </c>
      <c r="B397" s="238"/>
      <c r="C397" s="239"/>
      <c r="D397" s="123">
        <v>4868500</v>
      </c>
      <c r="E397" s="77" t="s">
        <v>206</v>
      </c>
      <c r="F397" s="116">
        <v>0</v>
      </c>
      <c r="G397" s="4" t="s">
        <v>1</v>
      </c>
      <c r="H397" s="116">
        <v>20</v>
      </c>
      <c r="I397" s="26" t="s">
        <v>97</v>
      </c>
    </row>
    <row r="398" spans="1:10" s="99" customFormat="1" ht="20.25" customHeight="1" thickBot="1" x14ac:dyDescent="0.3">
      <c r="A398" s="237" t="s">
        <v>265</v>
      </c>
      <c r="B398" s="238"/>
      <c r="C398" s="239"/>
      <c r="D398" s="123">
        <v>18574600</v>
      </c>
      <c r="E398" s="77" t="s">
        <v>206</v>
      </c>
      <c r="F398" s="116">
        <v>0</v>
      </c>
      <c r="G398" s="4" t="s">
        <v>1</v>
      </c>
      <c r="H398" s="116">
        <v>20</v>
      </c>
      <c r="I398" s="99" t="s">
        <v>97</v>
      </c>
    </row>
    <row r="399" spans="1:10" s="99" customFormat="1" ht="20.25" customHeight="1" thickBot="1" x14ac:dyDescent="0.3">
      <c r="A399" s="237" t="s">
        <v>266</v>
      </c>
      <c r="B399" s="238"/>
      <c r="C399" s="239"/>
      <c r="D399" s="123">
        <v>5000000</v>
      </c>
      <c r="E399" s="77" t="s">
        <v>206</v>
      </c>
      <c r="F399" s="116">
        <v>0</v>
      </c>
      <c r="G399" s="4" t="s">
        <v>1</v>
      </c>
      <c r="H399" s="116">
        <v>20</v>
      </c>
      <c r="I399" s="99" t="s">
        <v>97</v>
      </c>
    </row>
    <row r="400" spans="1:10" s="99" customFormat="1" ht="20.25" customHeight="1" thickBot="1" x14ac:dyDescent="0.3">
      <c r="A400" s="237" t="s">
        <v>267</v>
      </c>
      <c r="B400" s="238"/>
      <c r="C400" s="239"/>
      <c r="D400" s="123">
        <v>2000000</v>
      </c>
      <c r="E400" s="77" t="s">
        <v>206</v>
      </c>
      <c r="F400" s="116">
        <v>0</v>
      </c>
      <c r="G400" s="4" t="s">
        <v>1</v>
      </c>
      <c r="H400" s="116">
        <v>20</v>
      </c>
      <c r="I400" s="99" t="s">
        <v>97</v>
      </c>
    </row>
    <row r="401" spans="1:9" s="99" customFormat="1" ht="20.25" customHeight="1" thickBot="1" x14ac:dyDescent="0.3">
      <c r="A401" s="237" t="s">
        <v>268</v>
      </c>
      <c r="B401" s="238"/>
      <c r="C401" s="239"/>
      <c r="D401" s="123">
        <v>2000000</v>
      </c>
      <c r="E401" s="77" t="s">
        <v>206</v>
      </c>
      <c r="F401" s="116">
        <v>0</v>
      </c>
      <c r="G401" s="4" t="s">
        <v>1</v>
      </c>
      <c r="H401" s="116">
        <v>20</v>
      </c>
      <c r="I401" s="99" t="s">
        <v>97</v>
      </c>
    </row>
    <row r="402" spans="1:9" s="99" customFormat="1" ht="40.5" customHeight="1" thickBot="1" x14ac:dyDescent="0.3">
      <c r="A402" s="237" t="s">
        <v>269</v>
      </c>
      <c r="B402" s="238"/>
      <c r="C402" s="239"/>
      <c r="D402" s="123">
        <v>12000000</v>
      </c>
      <c r="E402" s="77" t="s">
        <v>206</v>
      </c>
      <c r="F402" s="116">
        <v>0</v>
      </c>
      <c r="G402" s="4" t="s">
        <v>1</v>
      </c>
      <c r="H402" s="116">
        <v>20</v>
      </c>
      <c r="I402" s="99" t="s">
        <v>97</v>
      </c>
    </row>
    <row r="403" spans="1:9" s="99" customFormat="1" ht="63" customHeight="1" thickBot="1" x14ac:dyDescent="0.3">
      <c r="A403" s="237" t="s">
        <v>278</v>
      </c>
      <c r="B403" s="238"/>
      <c r="C403" s="239"/>
      <c r="D403" s="123">
        <v>9000000</v>
      </c>
      <c r="E403" s="77" t="s">
        <v>206</v>
      </c>
      <c r="F403" s="116">
        <v>0</v>
      </c>
      <c r="G403" s="4" t="s">
        <v>1</v>
      </c>
      <c r="H403" s="116">
        <v>20</v>
      </c>
      <c r="I403" s="99" t="s">
        <v>97</v>
      </c>
    </row>
    <row r="404" spans="1:9" s="99" customFormat="1" ht="20.25" customHeight="1" thickBot="1" x14ac:dyDescent="0.3">
      <c r="A404" s="237" t="s">
        <v>270</v>
      </c>
      <c r="B404" s="238"/>
      <c r="C404" s="239"/>
      <c r="D404" s="123">
        <v>33000000</v>
      </c>
      <c r="E404" s="77" t="s">
        <v>206</v>
      </c>
      <c r="F404" s="116">
        <v>0</v>
      </c>
      <c r="G404" s="4" t="s">
        <v>1</v>
      </c>
      <c r="H404" s="116">
        <v>20</v>
      </c>
      <c r="I404" s="99" t="s">
        <v>97</v>
      </c>
    </row>
    <row r="405" spans="1:9" s="99" customFormat="1" ht="42.75" customHeight="1" thickBot="1" x14ac:dyDescent="0.3">
      <c r="A405" s="237" t="s">
        <v>271</v>
      </c>
      <c r="B405" s="238"/>
      <c r="C405" s="239"/>
      <c r="D405" s="123">
        <v>1500000</v>
      </c>
      <c r="E405" s="77" t="s">
        <v>206</v>
      </c>
      <c r="F405" s="116">
        <v>0</v>
      </c>
      <c r="G405" s="4" t="s">
        <v>1</v>
      </c>
      <c r="H405" s="116">
        <v>20</v>
      </c>
      <c r="I405" s="99" t="s">
        <v>97</v>
      </c>
    </row>
    <row r="406" spans="1:9" s="99" customFormat="1" ht="39" customHeight="1" thickBot="1" x14ac:dyDescent="0.3">
      <c r="A406" s="237" t="s">
        <v>272</v>
      </c>
      <c r="B406" s="238"/>
      <c r="C406" s="239"/>
      <c r="D406" s="123">
        <v>6384000</v>
      </c>
      <c r="E406" s="77" t="s">
        <v>206</v>
      </c>
      <c r="F406" s="116">
        <v>0</v>
      </c>
      <c r="G406" s="4" t="s">
        <v>1</v>
      </c>
      <c r="H406" s="116">
        <v>20</v>
      </c>
      <c r="I406" s="99" t="s">
        <v>97</v>
      </c>
    </row>
    <row r="407" spans="1:9" s="99" customFormat="1" ht="20.25" customHeight="1" thickBot="1" x14ac:dyDescent="0.3">
      <c r="A407" s="237" t="s">
        <v>273</v>
      </c>
      <c r="B407" s="238"/>
      <c r="C407" s="239"/>
      <c r="D407" s="123">
        <v>5400000</v>
      </c>
      <c r="E407" s="77" t="s">
        <v>206</v>
      </c>
      <c r="F407" s="116">
        <v>0</v>
      </c>
      <c r="G407" s="4" t="s">
        <v>1</v>
      </c>
      <c r="H407" s="116">
        <v>20</v>
      </c>
      <c r="I407" s="99" t="s">
        <v>97</v>
      </c>
    </row>
    <row r="408" spans="1:9" s="99" customFormat="1" ht="57.75" customHeight="1" thickBot="1" x14ac:dyDescent="0.3">
      <c r="A408" s="237" t="s">
        <v>274</v>
      </c>
      <c r="B408" s="238"/>
      <c r="C408" s="239"/>
      <c r="D408" s="123">
        <v>5200000</v>
      </c>
      <c r="E408" s="77" t="s">
        <v>206</v>
      </c>
      <c r="F408" s="116">
        <v>0</v>
      </c>
      <c r="G408" s="4" t="s">
        <v>1</v>
      </c>
      <c r="H408" s="116">
        <v>20</v>
      </c>
      <c r="I408" s="99" t="s">
        <v>97</v>
      </c>
    </row>
    <row r="409" spans="1:9" s="99" customFormat="1" ht="20.25" customHeight="1" thickBot="1" x14ac:dyDescent="0.3">
      <c r="A409" s="237" t="s">
        <v>306</v>
      </c>
      <c r="B409" s="238"/>
      <c r="C409" s="239"/>
      <c r="D409" s="123"/>
      <c r="E409" s="77" t="s">
        <v>206</v>
      </c>
      <c r="F409" s="116">
        <v>0</v>
      </c>
      <c r="G409" s="4" t="s">
        <v>1</v>
      </c>
      <c r="H409" s="116">
        <v>20</v>
      </c>
      <c r="I409" s="99" t="s">
        <v>97</v>
      </c>
    </row>
    <row r="410" spans="1:9" s="99" customFormat="1" ht="20.25" customHeight="1" thickBot="1" x14ac:dyDescent="0.3">
      <c r="A410" s="237" t="s">
        <v>306</v>
      </c>
      <c r="B410" s="238"/>
      <c r="C410" s="239"/>
      <c r="D410" s="123"/>
      <c r="E410" s="77" t="s">
        <v>206</v>
      </c>
      <c r="F410" s="116">
        <v>0</v>
      </c>
      <c r="G410" s="4" t="s">
        <v>1</v>
      </c>
      <c r="H410" s="116">
        <v>20</v>
      </c>
      <c r="I410" s="99" t="s">
        <v>97</v>
      </c>
    </row>
    <row r="411" spans="1:9" s="99" customFormat="1" ht="20.25" customHeight="1" thickBot="1" x14ac:dyDescent="0.3">
      <c r="A411" s="237" t="s">
        <v>306</v>
      </c>
      <c r="B411" s="238"/>
      <c r="C411" s="239"/>
      <c r="D411" s="123"/>
      <c r="E411" s="77" t="s">
        <v>206</v>
      </c>
      <c r="F411" s="116">
        <v>0</v>
      </c>
      <c r="G411" s="4" t="s">
        <v>1</v>
      </c>
      <c r="H411" s="116">
        <v>20</v>
      </c>
      <c r="I411" s="99" t="s">
        <v>97</v>
      </c>
    </row>
    <row r="412" spans="1:9" s="99" customFormat="1" ht="22.5" customHeight="1" thickBot="1" x14ac:dyDescent="0.6">
      <c r="A412" s="240" t="s">
        <v>306</v>
      </c>
      <c r="B412" s="241"/>
      <c r="C412" s="242"/>
      <c r="D412" s="124"/>
      <c r="E412" s="77" t="s">
        <v>206</v>
      </c>
      <c r="F412" s="116">
        <v>0</v>
      </c>
      <c r="G412" s="4" t="s">
        <v>1</v>
      </c>
      <c r="H412" s="200">
        <v>20</v>
      </c>
      <c r="I412" s="99" t="s">
        <v>97</v>
      </c>
    </row>
    <row r="413" spans="1:9" ht="16.5" thickBot="1" x14ac:dyDescent="0.3">
      <c r="A413" s="3" t="s">
        <v>105</v>
      </c>
      <c r="B413" s="37"/>
      <c r="C413" s="37"/>
      <c r="D413" s="100">
        <f>SUM(D388:D412)</f>
        <v>150040600</v>
      </c>
      <c r="E413" s="15"/>
      <c r="F413" s="116">
        <v>0</v>
      </c>
      <c r="G413" s="4" t="s">
        <v>1</v>
      </c>
      <c r="H413" s="201">
        <v>20</v>
      </c>
      <c r="I413" s="99" t="s">
        <v>97</v>
      </c>
    </row>
    <row r="414" spans="1:9" x14ac:dyDescent="0.25">
      <c r="A414" s="37"/>
      <c r="B414" s="37"/>
      <c r="C414" s="37"/>
      <c r="D414" s="37"/>
      <c r="E414" s="37"/>
      <c r="F414" s="37"/>
      <c r="G414" s="37" t="s">
        <v>0</v>
      </c>
      <c r="H414" s="37"/>
      <c r="I414" s="37" t="s">
        <v>0</v>
      </c>
    </row>
    <row r="415" spans="1:9" ht="16.5" thickBot="1" x14ac:dyDescent="0.3">
      <c r="A415" s="3" t="s">
        <v>98</v>
      </c>
      <c r="B415" s="37"/>
      <c r="C415" s="37"/>
    </row>
    <row r="416" spans="1:9" ht="30.75" customHeight="1" thickBot="1" x14ac:dyDescent="0.3">
      <c r="A416" s="240" t="s">
        <v>279</v>
      </c>
      <c r="B416" s="241"/>
      <c r="C416" s="242"/>
      <c r="D416" s="123">
        <v>32340000</v>
      </c>
      <c r="E416" s="77" t="s">
        <v>206</v>
      </c>
      <c r="F416" s="116">
        <v>20</v>
      </c>
      <c r="G416" s="4" t="s">
        <v>1</v>
      </c>
      <c r="H416" s="116">
        <v>10</v>
      </c>
      <c r="I416" s="26" t="s">
        <v>97</v>
      </c>
    </row>
    <row r="417" spans="1:9" ht="16.5" thickBot="1" x14ac:dyDescent="0.3">
      <c r="A417" s="240" t="s">
        <v>280</v>
      </c>
      <c r="B417" s="241"/>
      <c r="C417" s="242"/>
      <c r="D417" s="123">
        <v>11025000</v>
      </c>
      <c r="E417" s="77" t="s">
        <v>206</v>
      </c>
      <c r="F417" s="116">
        <v>20</v>
      </c>
      <c r="G417" s="4" t="s">
        <v>1</v>
      </c>
      <c r="H417" s="116">
        <v>10</v>
      </c>
      <c r="I417" s="26" t="s">
        <v>97</v>
      </c>
    </row>
    <row r="418" spans="1:9" ht="16.5" thickBot="1" x14ac:dyDescent="0.3">
      <c r="A418" s="240" t="s">
        <v>281</v>
      </c>
      <c r="B418" s="241"/>
      <c r="C418" s="242"/>
      <c r="D418" s="123">
        <v>1176000</v>
      </c>
      <c r="E418" s="77" t="s">
        <v>206</v>
      </c>
      <c r="F418" s="116">
        <v>20</v>
      </c>
      <c r="G418" s="4" t="s">
        <v>1</v>
      </c>
      <c r="H418" s="116">
        <v>10</v>
      </c>
      <c r="I418" s="26" t="s">
        <v>97</v>
      </c>
    </row>
    <row r="419" spans="1:9" ht="16.5" thickBot="1" x14ac:dyDescent="0.3">
      <c r="A419" s="240" t="s">
        <v>282</v>
      </c>
      <c r="B419" s="241"/>
      <c r="C419" s="242"/>
      <c r="D419" s="123">
        <v>5145000</v>
      </c>
      <c r="E419" s="77" t="s">
        <v>206</v>
      </c>
      <c r="F419" s="116">
        <v>20</v>
      </c>
      <c r="G419" s="4" t="s">
        <v>1</v>
      </c>
      <c r="H419" s="116">
        <v>10</v>
      </c>
      <c r="I419" s="26" t="s">
        <v>97</v>
      </c>
    </row>
    <row r="420" spans="1:9" ht="40.5" customHeight="1" thickBot="1" x14ac:dyDescent="0.3">
      <c r="A420" s="240" t="s">
        <v>283</v>
      </c>
      <c r="B420" s="241"/>
      <c r="C420" s="242"/>
      <c r="D420" s="123">
        <v>17493000</v>
      </c>
      <c r="E420" s="77" t="s">
        <v>206</v>
      </c>
      <c r="F420" s="116">
        <v>20</v>
      </c>
      <c r="G420" s="4" t="s">
        <v>1</v>
      </c>
      <c r="H420" s="116">
        <v>10</v>
      </c>
      <c r="I420" s="26" t="s">
        <v>97</v>
      </c>
    </row>
    <row r="421" spans="1:9" s="99" customFormat="1" ht="21" customHeight="1" thickBot="1" x14ac:dyDescent="0.3">
      <c r="A421" s="240" t="s">
        <v>284</v>
      </c>
      <c r="B421" s="241"/>
      <c r="C421" s="242"/>
      <c r="D421" s="123">
        <v>9555000</v>
      </c>
      <c r="E421" s="77" t="s">
        <v>206</v>
      </c>
      <c r="F421" s="116">
        <v>20</v>
      </c>
      <c r="G421" s="4" t="s">
        <v>1</v>
      </c>
      <c r="H421" s="116">
        <v>10</v>
      </c>
      <c r="I421" s="99" t="s">
        <v>97</v>
      </c>
    </row>
    <row r="422" spans="1:9" s="99" customFormat="1" ht="19.5" customHeight="1" thickBot="1" x14ac:dyDescent="0.3">
      <c r="A422" s="240" t="s">
        <v>285</v>
      </c>
      <c r="B422" s="241"/>
      <c r="C422" s="242"/>
      <c r="D422" s="123">
        <v>1323000</v>
      </c>
      <c r="E422" s="77" t="s">
        <v>206</v>
      </c>
      <c r="F422" s="116">
        <v>20</v>
      </c>
      <c r="G422" s="4" t="s">
        <v>1</v>
      </c>
      <c r="H422" s="116">
        <v>10</v>
      </c>
      <c r="I422" s="99" t="s">
        <v>97</v>
      </c>
    </row>
    <row r="423" spans="1:9" s="99" customFormat="1" ht="19.5" customHeight="1" thickBot="1" x14ac:dyDescent="0.3">
      <c r="A423" s="240" t="s">
        <v>286</v>
      </c>
      <c r="B423" s="241"/>
      <c r="C423" s="242"/>
      <c r="D423" s="123">
        <v>4410000</v>
      </c>
      <c r="E423" s="77" t="s">
        <v>206</v>
      </c>
      <c r="F423" s="116">
        <v>20</v>
      </c>
      <c r="G423" s="4" t="s">
        <v>1</v>
      </c>
      <c r="H423" s="116">
        <v>10</v>
      </c>
      <c r="I423" s="99" t="s">
        <v>97</v>
      </c>
    </row>
    <row r="424" spans="1:9" s="99" customFormat="1" ht="18.75" customHeight="1" thickBot="1" x14ac:dyDescent="0.3">
      <c r="A424" s="240" t="s">
        <v>287</v>
      </c>
      <c r="B424" s="241"/>
      <c r="C424" s="242"/>
      <c r="D424" s="123">
        <v>3675000</v>
      </c>
      <c r="E424" s="77" t="s">
        <v>206</v>
      </c>
      <c r="F424" s="116">
        <v>20</v>
      </c>
      <c r="G424" s="4" t="s">
        <v>1</v>
      </c>
      <c r="H424" s="116">
        <v>10</v>
      </c>
      <c r="I424" s="99" t="s">
        <v>97</v>
      </c>
    </row>
    <row r="425" spans="1:9" s="99" customFormat="1" ht="18" customHeight="1" thickBot="1" x14ac:dyDescent="0.3">
      <c r="A425" s="240" t="s">
        <v>288</v>
      </c>
      <c r="B425" s="241"/>
      <c r="C425" s="242"/>
      <c r="D425" s="123">
        <v>16464000</v>
      </c>
      <c r="E425" s="77" t="s">
        <v>206</v>
      </c>
      <c r="F425" s="116">
        <v>20</v>
      </c>
      <c r="G425" s="4" t="s">
        <v>1</v>
      </c>
      <c r="H425" s="116">
        <v>10</v>
      </c>
      <c r="I425" s="99" t="s">
        <v>97</v>
      </c>
    </row>
    <row r="426" spans="1:9" s="99" customFormat="1" ht="18.75" customHeight="1" thickBot="1" x14ac:dyDescent="0.3">
      <c r="A426" s="240" t="s">
        <v>289</v>
      </c>
      <c r="B426" s="241"/>
      <c r="C426" s="242"/>
      <c r="D426" s="123">
        <v>5880000</v>
      </c>
      <c r="E426" s="77" t="s">
        <v>206</v>
      </c>
      <c r="F426" s="116">
        <v>20</v>
      </c>
      <c r="G426" s="4" t="s">
        <v>1</v>
      </c>
      <c r="H426" s="116">
        <v>10</v>
      </c>
      <c r="I426" s="99" t="s">
        <v>97</v>
      </c>
    </row>
    <row r="427" spans="1:9" s="99" customFormat="1" ht="31.5" customHeight="1" thickBot="1" x14ac:dyDescent="0.3">
      <c r="A427" s="240" t="s">
        <v>312</v>
      </c>
      <c r="B427" s="241"/>
      <c r="C427" s="242"/>
      <c r="D427" s="123">
        <v>2881000</v>
      </c>
      <c r="E427" s="77" t="s">
        <v>206</v>
      </c>
      <c r="F427" s="116">
        <v>20</v>
      </c>
      <c r="G427" s="4" t="s">
        <v>1</v>
      </c>
      <c r="H427" s="116">
        <v>10</v>
      </c>
      <c r="I427" s="99" t="s">
        <v>97</v>
      </c>
    </row>
    <row r="428" spans="1:9" s="99" customFormat="1" ht="18.75" customHeight="1" thickBot="1" x14ac:dyDescent="0.3">
      <c r="A428" s="240" t="s">
        <v>290</v>
      </c>
      <c r="B428" s="241"/>
      <c r="C428" s="242"/>
      <c r="D428" s="123">
        <v>4410000</v>
      </c>
      <c r="E428" s="77" t="s">
        <v>206</v>
      </c>
      <c r="F428" s="116">
        <v>20</v>
      </c>
      <c r="G428" s="4" t="s">
        <v>1</v>
      </c>
      <c r="H428" s="116">
        <v>10</v>
      </c>
      <c r="I428" s="99" t="s">
        <v>97</v>
      </c>
    </row>
    <row r="429" spans="1:9" s="99" customFormat="1" ht="18" customHeight="1" thickBot="1" x14ac:dyDescent="0.3">
      <c r="A429" s="240" t="s">
        <v>305</v>
      </c>
      <c r="B429" s="241"/>
      <c r="C429" s="242"/>
      <c r="D429" s="123"/>
      <c r="E429" s="77" t="s">
        <v>206</v>
      </c>
      <c r="F429" s="116"/>
      <c r="G429" s="4" t="s">
        <v>1</v>
      </c>
      <c r="H429" s="116"/>
      <c r="I429" s="99" t="s">
        <v>97</v>
      </c>
    </row>
    <row r="430" spans="1:9" s="99" customFormat="1" ht="16.5" customHeight="1" thickBot="1" x14ac:dyDescent="0.3">
      <c r="A430" s="240" t="s">
        <v>305</v>
      </c>
      <c r="B430" s="241"/>
      <c r="C430" s="242"/>
      <c r="D430" s="123"/>
      <c r="E430" s="77" t="s">
        <v>206</v>
      </c>
      <c r="F430" s="116"/>
      <c r="G430" s="4" t="s">
        <v>1</v>
      </c>
      <c r="H430" s="116"/>
      <c r="I430" s="99" t="s">
        <v>97</v>
      </c>
    </row>
    <row r="431" spans="1:9" s="99" customFormat="1" ht="16.5" customHeight="1" thickBot="1" x14ac:dyDescent="0.3">
      <c r="A431" s="240" t="s">
        <v>305</v>
      </c>
      <c r="B431" s="241"/>
      <c r="C431" s="242"/>
      <c r="D431" s="123"/>
      <c r="E431" s="77" t="s">
        <v>206</v>
      </c>
      <c r="F431" s="116"/>
      <c r="G431" s="4" t="s">
        <v>1</v>
      </c>
      <c r="H431" s="116"/>
      <c r="I431" s="99" t="s">
        <v>97</v>
      </c>
    </row>
    <row r="432" spans="1:9" s="99" customFormat="1" ht="16.5" customHeight="1" thickBot="1" x14ac:dyDescent="0.3">
      <c r="A432" s="240" t="s">
        <v>305</v>
      </c>
      <c r="B432" s="241"/>
      <c r="C432" s="242"/>
      <c r="D432" s="123"/>
      <c r="E432" s="77" t="s">
        <v>206</v>
      </c>
      <c r="F432" s="116"/>
      <c r="G432" s="4" t="s">
        <v>1</v>
      </c>
      <c r="H432" s="116"/>
      <c r="I432" s="99" t="s">
        <v>97</v>
      </c>
    </row>
    <row r="433" spans="1:9" s="99" customFormat="1" ht="16.5" customHeight="1" thickBot="1" x14ac:dyDescent="0.3">
      <c r="A433" s="240" t="s">
        <v>305</v>
      </c>
      <c r="B433" s="241"/>
      <c r="C433" s="242"/>
      <c r="D433" s="123"/>
      <c r="E433" s="77" t="s">
        <v>206</v>
      </c>
      <c r="F433" s="116"/>
      <c r="G433" s="4" t="s">
        <v>1</v>
      </c>
      <c r="H433" s="116"/>
      <c r="I433" s="99" t="s">
        <v>97</v>
      </c>
    </row>
    <row r="434" spans="1:9" s="99" customFormat="1" ht="16.5" customHeight="1" thickBot="1" x14ac:dyDescent="0.3">
      <c r="A434" s="240" t="s">
        <v>305</v>
      </c>
      <c r="B434" s="241"/>
      <c r="C434" s="242"/>
      <c r="D434" s="123"/>
      <c r="E434" s="77" t="s">
        <v>206</v>
      </c>
      <c r="F434" s="116"/>
      <c r="G434" s="4" t="s">
        <v>1</v>
      </c>
      <c r="H434" s="116"/>
      <c r="I434" s="99" t="s">
        <v>97</v>
      </c>
    </row>
    <row r="435" spans="1:9" ht="15.75" x14ac:dyDescent="0.25">
      <c r="A435" s="3" t="s">
        <v>99</v>
      </c>
      <c r="B435" s="37"/>
      <c r="C435" s="37"/>
      <c r="D435" s="95">
        <f>SUM(D416:D428)</f>
        <v>115777000</v>
      </c>
      <c r="E435" s="15"/>
      <c r="G435" s="37"/>
      <c r="H435" s="37"/>
      <c r="I435" s="37"/>
    </row>
    <row r="436" spans="1:9" ht="15.75" x14ac:dyDescent="0.25">
      <c r="A436" s="4" t="s">
        <v>100</v>
      </c>
      <c r="B436" s="37"/>
      <c r="C436" s="37"/>
      <c r="E436" s="53"/>
      <c r="G436" s="42"/>
      <c r="H436" s="42"/>
      <c r="I436" s="37"/>
    </row>
    <row r="437" spans="1:9" ht="15.75" x14ac:dyDescent="0.25">
      <c r="A437" s="4" t="s">
        <v>101</v>
      </c>
      <c r="B437" s="37"/>
      <c r="C437" s="37"/>
      <c r="D437" s="95">
        <f>D413+D435</f>
        <v>265817600</v>
      </c>
      <c r="E437" s="15"/>
      <c r="G437" s="37"/>
      <c r="H437" s="37"/>
      <c r="I437" s="37"/>
    </row>
    <row r="438" spans="1:9" ht="20.25" x14ac:dyDescent="0.55000000000000004">
      <c r="A438" s="4" t="s">
        <v>102</v>
      </c>
      <c r="B438" s="37"/>
      <c r="C438" s="37"/>
      <c r="D438" s="109">
        <f>(E340*E15)+(E382*E14)</f>
        <v>187800000</v>
      </c>
      <c r="E438" s="53"/>
      <c r="G438" s="37"/>
      <c r="H438" s="37"/>
      <c r="I438" s="37"/>
    </row>
    <row r="439" spans="1:9" ht="15.75" x14ac:dyDescent="0.25">
      <c r="A439" s="37"/>
      <c r="B439" s="37"/>
      <c r="C439" s="37"/>
      <c r="E439" s="15"/>
      <c r="G439" s="37"/>
      <c r="H439" s="37"/>
      <c r="I439" s="37"/>
    </row>
    <row r="440" spans="1:9" ht="15.75" x14ac:dyDescent="0.25">
      <c r="A440" s="3" t="s">
        <v>106</v>
      </c>
      <c r="B440" s="37"/>
      <c r="C440" s="37"/>
      <c r="D440" s="100">
        <f>D437+D438</f>
        <v>453617600</v>
      </c>
      <c r="E440" s="53"/>
      <c r="G440" s="42" t="s">
        <v>0</v>
      </c>
      <c r="H440" s="42"/>
      <c r="I440" s="37"/>
    </row>
    <row r="441" spans="1:9" ht="32.25" customHeight="1" x14ac:dyDescent="0.25">
      <c r="A441" s="37"/>
      <c r="B441" s="37"/>
      <c r="C441" s="54"/>
      <c r="D441" s="234"/>
      <c r="E441" s="234"/>
      <c r="F441" s="235"/>
      <c r="G441" s="235"/>
      <c r="H441" s="236"/>
      <c r="I441" s="236"/>
    </row>
    <row r="442" spans="1:9" ht="16.5" thickBot="1" x14ac:dyDescent="0.3">
      <c r="A442" s="3" t="s">
        <v>107</v>
      </c>
      <c r="B442" s="37"/>
      <c r="C442" s="37"/>
      <c r="D442" s="89"/>
      <c r="E442" s="89"/>
      <c r="F442" s="89"/>
      <c r="G442" s="89"/>
      <c r="H442" s="89"/>
      <c r="I442" s="89"/>
    </row>
    <row r="443" spans="1:9" ht="16.5" thickBot="1" x14ac:dyDescent="0.3">
      <c r="A443" s="4" t="s">
        <v>250</v>
      </c>
      <c r="B443" s="37"/>
      <c r="C443" s="37"/>
      <c r="D443" s="202">
        <v>250000</v>
      </c>
      <c r="E443" s="144" t="s">
        <v>243</v>
      </c>
      <c r="F443" s="143"/>
      <c r="G443" s="143"/>
      <c r="H443" s="145"/>
      <c r="I443" s="144"/>
    </row>
    <row r="444" spans="1:9" ht="15.75" x14ac:dyDescent="0.25">
      <c r="A444" s="37"/>
      <c r="B444" s="37"/>
      <c r="C444" s="37"/>
      <c r="D444" s="37"/>
      <c r="E444" s="37"/>
      <c r="F444" s="37"/>
      <c r="G444" s="38"/>
      <c r="H444" s="38"/>
      <c r="I444" s="37"/>
    </row>
    <row r="445" spans="1:9" ht="15.75" x14ac:dyDescent="0.25">
      <c r="A445" s="3" t="s">
        <v>212</v>
      </c>
      <c r="B445" s="37"/>
      <c r="C445" s="37"/>
      <c r="D445" s="37"/>
      <c r="E445" s="37"/>
      <c r="F445" s="37"/>
      <c r="G445" s="37"/>
      <c r="H445" s="45"/>
      <c r="I445" s="37"/>
    </row>
    <row r="446" spans="1:9" s="74" customFormat="1" ht="15.75" x14ac:dyDescent="0.25">
      <c r="A446" s="91" t="s">
        <v>336</v>
      </c>
      <c r="B446" s="37"/>
      <c r="C446" s="37"/>
      <c r="D446" s="37"/>
      <c r="E446" s="37"/>
      <c r="F446" s="37"/>
      <c r="G446" s="37"/>
      <c r="H446" s="45"/>
      <c r="I446" s="37"/>
    </row>
    <row r="447" spans="1:9" s="99" customFormat="1" ht="15.75" x14ac:dyDescent="0.25">
      <c r="A447" s="91"/>
      <c r="B447" s="37"/>
      <c r="C447" s="37"/>
      <c r="D447" s="37"/>
      <c r="E447" s="37"/>
      <c r="F447" s="37"/>
      <c r="G447" s="37"/>
      <c r="H447" s="45"/>
      <c r="I447" s="37"/>
    </row>
    <row r="448" spans="1:9" s="74" customFormat="1" ht="16.5" thickBot="1" x14ac:dyDescent="0.3">
      <c r="A448" s="73" t="s">
        <v>205</v>
      </c>
      <c r="B448" s="37"/>
      <c r="C448" s="37"/>
      <c r="D448" s="37"/>
      <c r="E448" s="37"/>
      <c r="F448" s="37"/>
      <c r="G448" s="37"/>
      <c r="H448" s="45"/>
      <c r="I448" s="37"/>
    </row>
    <row r="449" spans="1:7" ht="16.5" thickBot="1" x14ac:dyDescent="0.3">
      <c r="A449" s="4" t="s">
        <v>335</v>
      </c>
      <c r="F449" s="121">
        <v>1200000</v>
      </c>
      <c r="G449" s="89" t="s">
        <v>206</v>
      </c>
    </row>
    <row r="450" spans="1:7" ht="16.5" thickBot="1" x14ac:dyDescent="0.3">
      <c r="A450" s="73" t="s">
        <v>207</v>
      </c>
    </row>
    <row r="451" spans="1:7" ht="16.5" thickBot="1" x14ac:dyDescent="0.3">
      <c r="A451" s="4" t="s">
        <v>335</v>
      </c>
      <c r="F451" s="121">
        <v>600000</v>
      </c>
      <c r="G451" s="89" t="s">
        <v>206</v>
      </c>
    </row>
    <row r="452" spans="1:7" ht="16.5" thickBot="1" x14ac:dyDescent="0.3">
      <c r="A452" s="73" t="s">
        <v>208</v>
      </c>
    </row>
    <row r="453" spans="1:7" ht="16.5" thickBot="1" x14ac:dyDescent="0.3">
      <c r="A453" s="4" t="s">
        <v>335</v>
      </c>
      <c r="F453" s="123">
        <v>600000</v>
      </c>
      <c r="G453" s="89" t="s">
        <v>206</v>
      </c>
    </row>
    <row r="454" spans="1:7" ht="16.5" thickBot="1" x14ac:dyDescent="0.3">
      <c r="A454" s="73" t="s">
        <v>209</v>
      </c>
    </row>
    <row r="455" spans="1:7" ht="16.5" thickBot="1" x14ac:dyDescent="0.3">
      <c r="A455" s="4" t="s">
        <v>335</v>
      </c>
      <c r="F455" s="123">
        <v>600000</v>
      </c>
      <c r="G455" s="89" t="s">
        <v>206</v>
      </c>
    </row>
    <row r="456" spans="1:7" ht="15.75" x14ac:dyDescent="0.25">
      <c r="F456" s="94"/>
    </row>
  </sheetData>
  <sheetProtection password="D73E" sheet="1" objects="1" scenarios="1"/>
  <mergeCells count="62">
    <mergeCell ref="A430:C430"/>
    <mergeCell ref="A431:C431"/>
    <mergeCell ref="A432:C432"/>
    <mergeCell ref="A433:C433"/>
    <mergeCell ref="A434:C434"/>
    <mergeCell ref="A425:C425"/>
    <mergeCell ref="A426:C426"/>
    <mergeCell ref="A427:C427"/>
    <mergeCell ref="A428:C428"/>
    <mergeCell ref="A429:C429"/>
    <mergeCell ref="A419:C419"/>
    <mergeCell ref="A421:C421"/>
    <mergeCell ref="A422:C422"/>
    <mergeCell ref="A423:C423"/>
    <mergeCell ref="A424:C424"/>
    <mergeCell ref="A410:C410"/>
    <mergeCell ref="A411:C411"/>
    <mergeCell ref="A412:C412"/>
    <mergeCell ref="A417:C417"/>
    <mergeCell ref="A418:C418"/>
    <mergeCell ref="A400:C400"/>
    <mergeCell ref="A401:C401"/>
    <mergeCell ref="A404:C404"/>
    <mergeCell ref="A407:C407"/>
    <mergeCell ref="A409:C409"/>
    <mergeCell ref="A393:C393"/>
    <mergeCell ref="A394:C394"/>
    <mergeCell ref="A396:C396"/>
    <mergeCell ref="A398:C398"/>
    <mergeCell ref="A399:C399"/>
    <mergeCell ref="A372:D372"/>
    <mergeCell ref="A388:C388"/>
    <mergeCell ref="A389:C389"/>
    <mergeCell ref="A390:C390"/>
    <mergeCell ref="A392:C392"/>
    <mergeCell ref="A2:I2"/>
    <mergeCell ref="F387:G387"/>
    <mergeCell ref="H387:I387"/>
    <mergeCell ref="D441:E441"/>
    <mergeCell ref="F441:G441"/>
    <mergeCell ref="H441:I441"/>
    <mergeCell ref="A402:C402"/>
    <mergeCell ref="A408:C408"/>
    <mergeCell ref="A397:C397"/>
    <mergeCell ref="A395:C395"/>
    <mergeCell ref="A403:C403"/>
    <mergeCell ref="A405:C405"/>
    <mergeCell ref="A406:C406"/>
    <mergeCell ref="A391:C391"/>
    <mergeCell ref="A416:C416"/>
    <mergeCell ref="A420:C420"/>
    <mergeCell ref="A315:C315"/>
    <mergeCell ref="A316:C316"/>
    <mergeCell ref="A322:C322"/>
    <mergeCell ref="A323:C323"/>
    <mergeCell ref="A319:C319"/>
    <mergeCell ref="A327:C327"/>
    <mergeCell ref="A328:C328"/>
    <mergeCell ref="A326:C326"/>
    <mergeCell ref="A324:C325"/>
    <mergeCell ref="A317:C317"/>
    <mergeCell ref="A318:C31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443"/>
  <sheetViews>
    <sheetView showGridLines="0" zoomScaleNormal="100" workbookViewId="0">
      <selection activeCell="J86" sqref="J86"/>
    </sheetView>
  </sheetViews>
  <sheetFormatPr defaultRowHeight="18" x14ac:dyDescent="0.25"/>
  <cols>
    <col min="1" max="1" width="4.140625" style="1" customWidth="1"/>
    <col min="2" max="2" width="7.28515625" style="1" customWidth="1"/>
    <col min="3" max="3" width="7.140625" style="1" customWidth="1"/>
    <col min="4" max="4" width="18.42578125" style="1" customWidth="1"/>
    <col min="5" max="5" width="4.85546875" style="1" customWidth="1"/>
    <col min="6" max="6" width="17.5703125" style="1" customWidth="1"/>
    <col min="7" max="7" width="2.85546875" style="1" customWidth="1"/>
    <col min="8" max="8" width="17.7109375" style="1" customWidth="1"/>
    <col min="9" max="9" width="30.42578125" style="1" customWidth="1"/>
    <col min="10" max="10" width="15.42578125" style="1" bestFit="1" customWidth="1"/>
    <col min="11" max="11" width="17.85546875" style="1" bestFit="1" customWidth="1"/>
    <col min="12" max="12" width="13.85546875" style="1" bestFit="1" customWidth="1"/>
    <col min="13" max="13" width="9.85546875" style="1" bestFit="1" customWidth="1"/>
    <col min="14" max="255" width="9.140625" style="1"/>
    <col min="256" max="256" width="4.140625" style="1" customWidth="1"/>
    <col min="257" max="257" width="7.28515625" style="1" customWidth="1"/>
    <col min="258" max="258" width="7.140625" style="1" customWidth="1"/>
    <col min="259" max="259" width="11.85546875" style="1" customWidth="1"/>
    <col min="260" max="260" width="4.85546875" style="1" customWidth="1"/>
    <col min="261" max="261" width="16.42578125" style="1" customWidth="1"/>
    <col min="262" max="262" width="2.85546875" style="1" customWidth="1"/>
    <col min="263" max="263" width="14" style="1" bestFit="1" customWidth="1"/>
    <col min="264" max="264" width="18.5703125" style="1" customWidth="1"/>
    <col min="265" max="265" width="16" style="1" customWidth="1"/>
    <col min="266" max="511" width="9.140625" style="1"/>
    <col min="512" max="512" width="4.140625" style="1" customWidth="1"/>
    <col min="513" max="513" width="7.28515625" style="1" customWidth="1"/>
    <col min="514" max="514" width="7.140625" style="1" customWidth="1"/>
    <col min="515" max="515" width="11.85546875" style="1" customWidth="1"/>
    <col min="516" max="516" width="4.85546875" style="1" customWidth="1"/>
    <col min="517" max="517" width="16.42578125" style="1" customWidth="1"/>
    <col min="518" max="518" width="2.85546875" style="1" customWidth="1"/>
    <col min="519" max="519" width="14" style="1" bestFit="1" customWidth="1"/>
    <col min="520" max="520" width="18.5703125" style="1" customWidth="1"/>
    <col min="521" max="521" width="16" style="1" customWidth="1"/>
    <col min="522" max="767" width="9.140625" style="1"/>
    <col min="768" max="768" width="4.140625" style="1" customWidth="1"/>
    <col min="769" max="769" width="7.28515625" style="1" customWidth="1"/>
    <col min="770" max="770" width="7.140625" style="1" customWidth="1"/>
    <col min="771" max="771" width="11.85546875" style="1" customWidth="1"/>
    <col min="772" max="772" width="4.85546875" style="1" customWidth="1"/>
    <col min="773" max="773" width="16.42578125" style="1" customWidth="1"/>
    <col min="774" max="774" width="2.85546875" style="1" customWidth="1"/>
    <col min="775" max="775" width="14" style="1" bestFit="1" customWidth="1"/>
    <col min="776" max="776" width="18.5703125" style="1" customWidth="1"/>
    <col min="777" max="777" width="16" style="1" customWidth="1"/>
    <col min="778" max="1023" width="9.140625" style="1"/>
    <col min="1024" max="1024" width="4.140625" style="1" customWidth="1"/>
    <col min="1025" max="1025" width="7.28515625" style="1" customWidth="1"/>
    <col min="1026" max="1026" width="7.140625" style="1" customWidth="1"/>
    <col min="1027" max="1027" width="11.85546875" style="1" customWidth="1"/>
    <col min="1028" max="1028" width="4.85546875" style="1" customWidth="1"/>
    <col min="1029" max="1029" width="16.42578125" style="1" customWidth="1"/>
    <col min="1030" max="1030" width="2.85546875" style="1" customWidth="1"/>
    <col min="1031" max="1031" width="14" style="1" bestFit="1" customWidth="1"/>
    <col min="1032" max="1032" width="18.5703125" style="1" customWidth="1"/>
    <col min="1033" max="1033" width="16" style="1" customWidth="1"/>
    <col min="1034" max="1279" width="9.140625" style="1"/>
    <col min="1280" max="1280" width="4.140625" style="1" customWidth="1"/>
    <col min="1281" max="1281" width="7.28515625" style="1" customWidth="1"/>
    <col min="1282" max="1282" width="7.140625" style="1" customWidth="1"/>
    <col min="1283" max="1283" width="11.85546875" style="1" customWidth="1"/>
    <col min="1284" max="1284" width="4.85546875" style="1" customWidth="1"/>
    <col min="1285" max="1285" width="16.42578125" style="1" customWidth="1"/>
    <col min="1286" max="1286" width="2.85546875" style="1" customWidth="1"/>
    <col min="1287" max="1287" width="14" style="1" bestFit="1" customWidth="1"/>
    <col min="1288" max="1288" width="18.5703125" style="1" customWidth="1"/>
    <col min="1289" max="1289" width="16" style="1" customWidth="1"/>
    <col min="1290" max="1535" width="9.140625" style="1"/>
    <col min="1536" max="1536" width="4.140625" style="1" customWidth="1"/>
    <col min="1537" max="1537" width="7.28515625" style="1" customWidth="1"/>
    <col min="1538" max="1538" width="7.140625" style="1" customWidth="1"/>
    <col min="1539" max="1539" width="11.85546875" style="1" customWidth="1"/>
    <col min="1540" max="1540" width="4.85546875" style="1" customWidth="1"/>
    <col min="1541" max="1541" width="16.42578125" style="1" customWidth="1"/>
    <col min="1542" max="1542" width="2.85546875" style="1" customWidth="1"/>
    <col min="1543" max="1543" width="14" style="1" bestFit="1" customWidth="1"/>
    <col min="1544" max="1544" width="18.5703125" style="1" customWidth="1"/>
    <col min="1545" max="1545" width="16" style="1" customWidth="1"/>
    <col min="1546" max="1791" width="9.140625" style="1"/>
    <col min="1792" max="1792" width="4.140625" style="1" customWidth="1"/>
    <col min="1793" max="1793" width="7.28515625" style="1" customWidth="1"/>
    <col min="1794" max="1794" width="7.140625" style="1" customWidth="1"/>
    <col min="1795" max="1795" width="11.85546875" style="1" customWidth="1"/>
    <col min="1796" max="1796" width="4.85546875" style="1" customWidth="1"/>
    <col min="1797" max="1797" width="16.42578125" style="1" customWidth="1"/>
    <col min="1798" max="1798" width="2.85546875" style="1" customWidth="1"/>
    <col min="1799" max="1799" width="14" style="1" bestFit="1" customWidth="1"/>
    <col min="1800" max="1800" width="18.5703125" style="1" customWidth="1"/>
    <col min="1801" max="1801" width="16" style="1" customWidth="1"/>
    <col min="1802" max="2047" width="9.140625" style="1"/>
    <col min="2048" max="2048" width="4.140625" style="1" customWidth="1"/>
    <col min="2049" max="2049" width="7.28515625" style="1" customWidth="1"/>
    <col min="2050" max="2050" width="7.140625" style="1" customWidth="1"/>
    <col min="2051" max="2051" width="11.85546875" style="1" customWidth="1"/>
    <col min="2052" max="2052" width="4.85546875" style="1" customWidth="1"/>
    <col min="2053" max="2053" width="16.42578125" style="1" customWidth="1"/>
    <col min="2054" max="2054" width="2.85546875" style="1" customWidth="1"/>
    <col min="2055" max="2055" width="14" style="1" bestFit="1" customWidth="1"/>
    <col min="2056" max="2056" width="18.5703125" style="1" customWidth="1"/>
    <col min="2057" max="2057" width="16" style="1" customWidth="1"/>
    <col min="2058" max="2303" width="9.140625" style="1"/>
    <col min="2304" max="2304" width="4.140625" style="1" customWidth="1"/>
    <col min="2305" max="2305" width="7.28515625" style="1" customWidth="1"/>
    <col min="2306" max="2306" width="7.140625" style="1" customWidth="1"/>
    <col min="2307" max="2307" width="11.85546875" style="1" customWidth="1"/>
    <col min="2308" max="2308" width="4.85546875" style="1" customWidth="1"/>
    <col min="2309" max="2309" width="16.42578125" style="1" customWidth="1"/>
    <col min="2310" max="2310" width="2.85546875" style="1" customWidth="1"/>
    <col min="2311" max="2311" width="14" style="1" bestFit="1" customWidth="1"/>
    <col min="2312" max="2312" width="18.5703125" style="1" customWidth="1"/>
    <col min="2313" max="2313" width="16" style="1" customWidth="1"/>
    <col min="2314" max="2559" width="9.140625" style="1"/>
    <col min="2560" max="2560" width="4.140625" style="1" customWidth="1"/>
    <col min="2561" max="2561" width="7.28515625" style="1" customWidth="1"/>
    <col min="2562" max="2562" width="7.140625" style="1" customWidth="1"/>
    <col min="2563" max="2563" width="11.85546875" style="1" customWidth="1"/>
    <col min="2564" max="2564" width="4.85546875" style="1" customWidth="1"/>
    <col min="2565" max="2565" width="16.42578125" style="1" customWidth="1"/>
    <col min="2566" max="2566" width="2.85546875" style="1" customWidth="1"/>
    <col min="2567" max="2567" width="14" style="1" bestFit="1" customWidth="1"/>
    <col min="2568" max="2568" width="18.5703125" style="1" customWidth="1"/>
    <col min="2569" max="2569" width="16" style="1" customWidth="1"/>
    <col min="2570" max="2815" width="9.140625" style="1"/>
    <col min="2816" max="2816" width="4.140625" style="1" customWidth="1"/>
    <col min="2817" max="2817" width="7.28515625" style="1" customWidth="1"/>
    <col min="2818" max="2818" width="7.140625" style="1" customWidth="1"/>
    <col min="2819" max="2819" width="11.85546875" style="1" customWidth="1"/>
    <col min="2820" max="2820" width="4.85546875" style="1" customWidth="1"/>
    <col min="2821" max="2821" width="16.42578125" style="1" customWidth="1"/>
    <col min="2822" max="2822" width="2.85546875" style="1" customWidth="1"/>
    <col min="2823" max="2823" width="14" style="1" bestFit="1" customWidth="1"/>
    <col min="2824" max="2824" width="18.5703125" style="1" customWidth="1"/>
    <col min="2825" max="2825" width="16" style="1" customWidth="1"/>
    <col min="2826" max="3071" width="9.140625" style="1"/>
    <col min="3072" max="3072" width="4.140625" style="1" customWidth="1"/>
    <col min="3073" max="3073" width="7.28515625" style="1" customWidth="1"/>
    <col min="3074" max="3074" width="7.140625" style="1" customWidth="1"/>
    <col min="3075" max="3075" width="11.85546875" style="1" customWidth="1"/>
    <col min="3076" max="3076" width="4.85546875" style="1" customWidth="1"/>
    <col min="3077" max="3077" width="16.42578125" style="1" customWidth="1"/>
    <col min="3078" max="3078" width="2.85546875" style="1" customWidth="1"/>
    <col min="3079" max="3079" width="14" style="1" bestFit="1" customWidth="1"/>
    <col min="3080" max="3080" width="18.5703125" style="1" customWidth="1"/>
    <col min="3081" max="3081" width="16" style="1" customWidth="1"/>
    <col min="3082" max="3327" width="9.140625" style="1"/>
    <col min="3328" max="3328" width="4.140625" style="1" customWidth="1"/>
    <col min="3329" max="3329" width="7.28515625" style="1" customWidth="1"/>
    <col min="3330" max="3330" width="7.140625" style="1" customWidth="1"/>
    <col min="3331" max="3331" width="11.85546875" style="1" customWidth="1"/>
    <col min="3332" max="3332" width="4.85546875" style="1" customWidth="1"/>
    <col min="3333" max="3333" width="16.42578125" style="1" customWidth="1"/>
    <col min="3334" max="3334" width="2.85546875" style="1" customWidth="1"/>
    <col min="3335" max="3335" width="14" style="1" bestFit="1" customWidth="1"/>
    <col min="3336" max="3336" width="18.5703125" style="1" customWidth="1"/>
    <col min="3337" max="3337" width="16" style="1" customWidth="1"/>
    <col min="3338" max="3583" width="9.140625" style="1"/>
    <col min="3584" max="3584" width="4.140625" style="1" customWidth="1"/>
    <col min="3585" max="3585" width="7.28515625" style="1" customWidth="1"/>
    <col min="3586" max="3586" width="7.140625" style="1" customWidth="1"/>
    <col min="3587" max="3587" width="11.85546875" style="1" customWidth="1"/>
    <col min="3588" max="3588" width="4.85546875" style="1" customWidth="1"/>
    <col min="3589" max="3589" width="16.42578125" style="1" customWidth="1"/>
    <col min="3590" max="3590" width="2.85546875" style="1" customWidth="1"/>
    <col min="3591" max="3591" width="14" style="1" bestFit="1" customWidth="1"/>
    <col min="3592" max="3592" width="18.5703125" style="1" customWidth="1"/>
    <col min="3593" max="3593" width="16" style="1" customWidth="1"/>
    <col min="3594" max="3839" width="9.140625" style="1"/>
    <col min="3840" max="3840" width="4.140625" style="1" customWidth="1"/>
    <col min="3841" max="3841" width="7.28515625" style="1" customWidth="1"/>
    <col min="3842" max="3842" width="7.140625" style="1" customWidth="1"/>
    <col min="3843" max="3843" width="11.85546875" style="1" customWidth="1"/>
    <col min="3844" max="3844" width="4.85546875" style="1" customWidth="1"/>
    <col min="3845" max="3845" width="16.42578125" style="1" customWidth="1"/>
    <col min="3846" max="3846" width="2.85546875" style="1" customWidth="1"/>
    <col min="3847" max="3847" width="14" style="1" bestFit="1" customWidth="1"/>
    <col min="3848" max="3848" width="18.5703125" style="1" customWidth="1"/>
    <col min="3849" max="3849" width="16" style="1" customWidth="1"/>
    <col min="3850" max="4095" width="9.140625" style="1"/>
    <col min="4096" max="4096" width="4.140625" style="1" customWidth="1"/>
    <col min="4097" max="4097" width="7.28515625" style="1" customWidth="1"/>
    <col min="4098" max="4098" width="7.140625" style="1" customWidth="1"/>
    <col min="4099" max="4099" width="11.85546875" style="1" customWidth="1"/>
    <col min="4100" max="4100" width="4.85546875" style="1" customWidth="1"/>
    <col min="4101" max="4101" width="16.42578125" style="1" customWidth="1"/>
    <col min="4102" max="4102" width="2.85546875" style="1" customWidth="1"/>
    <col min="4103" max="4103" width="14" style="1" bestFit="1" customWidth="1"/>
    <col min="4104" max="4104" width="18.5703125" style="1" customWidth="1"/>
    <col min="4105" max="4105" width="16" style="1" customWidth="1"/>
    <col min="4106" max="4351" width="9.140625" style="1"/>
    <col min="4352" max="4352" width="4.140625" style="1" customWidth="1"/>
    <col min="4353" max="4353" width="7.28515625" style="1" customWidth="1"/>
    <col min="4354" max="4354" width="7.140625" style="1" customWidth="1"/>
    <col min="4355" max="4355" width="11.85546875" style="1" customWidth="1"/>
    <col min="4356" max="4356" width="4.85546875" style="1" customWidth="1"/>
    <col min="4357" max="4357" width="16.42578125" style="1" customWidth="1"/>
    <col min="4358" max="4358" width="2.85546875" style="1" customWidth="1"/>
    <col min="4359" max="4359" width="14" style="1" bestFit="1" customWidth="1"/>
    <col min="4360" max="4360" width="18.5703125" style="1" customWidth="1"/>
    <col min="4361" max="4361" width="16" style="1" customWidth="1"/>
    <col min="4362" max="4607" width="9.140625" style="1"/>
    <col min="4608" max="4608" width="4.140625" style="1" customWidth="1"/>
    <col min="4609" max="4609" width="7.28515625" style="1" customWidth="1"/>
    <col min="4610" max="4610" width="7.140625" style="1" customWidth="1"/>
    <col min="4611" max="4611" width="11.85546875" style="1" customWidth="1"/>
    <col min="4612" max="4612" width="4.85546875" style="1" customWidth="1"/>
    <col min="4613" max="4613" width="16.42578125" style="1" customWidth="1"/>
    <col min="4614" max="4614" width="2.85546875" style="1" customWidth="1"/>
    <col min="4615" max="4615" width="14" style="1" bestFit="1" customWidth="1"/>
    <col min="4616" max="4616" width="18.5703125" style="1" customWidth="1"/>
    <col min="4617" max="4617" width="16" style="1" customWidth="1"/>
    <col min="4618" max="4863" width="9.140625" style="1"/>
    <col min="4864" max="4864" width="4.140625" style="1" customWidth="1"/>
    <col min="4865" max="4865" width="7.28515625" style="1" customWidth="1"/>
    <col min="4866" max="4866" width="7.140625" style="1" customWidth="1"/>
    <col min="4867" max="4867" width="11.85546875" style="1" customWidth="1"/>
    <col min="4868" max="4868" width="4.85546875" style="1" customWidth="1"/>
    <col min="4869" max="4869" width="16.42578125" style="1" customWidth="1"/>
    <col min="4870" max="4870" width="2.85546875" style="1" customWidth="1"/>
    <col min="4871" max="4871" width="14" style="1" bestFit="1" customWidth="1"/>
    <col min="4872" max="4872" width="18.5703125" style="1" customWidth="1"/>
    <col min="4873" max="4873" width="16" style="1" customWidth="1"/>
    <col min="4874" max="5119" width="9.140625" style="1"/>
    <col min="5120" max="5120" width="4.140625" style="1" customWidth="1"/>
    <col min="5121" max="5121" width="7.28515625" style="1" customWidth="1"/>
    <col min="5122" max="5122" width="7.140625" style="1" customWidth="1"/>
    <col min="5123" max="5123" width="11.85546875" style="1" customWidth="1"/>
    <col min="5124" max="5124" width="4.85546875" style="1" customWidth="1"/>
    <col min="5125" max="5125" width="16.42578125" style="1" customWidth="1"/>
    <col min="5126" max="5126" width="2.85546875" style="1" customWidth="1"/>
    <col min="5127" max="5127" width="14" style="1" bestFit="1" customWidth="1"/>
    <col min="5128" max="5128" width="18.5703125" style="1" customWidth="1"/>
    <col min="5129" max="5129" width="16" style="1" customWidth="1"/>
    <col min="5130" max="5375" width="9.140625" style="1"/>
    <col min="5376" max="5376" width="4.140625" style="1" customWidth="1"/>
    <col min="5377" max="5377" width="7.28515625" style="1" customWidth="1"/>
    <col min="5378" max="5378" width="7.140625" style="1" customWidth="1"/>
    <col min="5379" max="5379" width="11.85546875" style="1" customWidth="1"/>
    <col min="5380" max="5380" width="4.85546875" style="1" customWidth="1"/>
    <col min="5381" max="5381" width="16.42578125" style="1" customWidth="1"/>
    <col min="5382" max="5382" width="2.85546875" style="1" customWidth="1"/>
    <col min="5383" max="5383" width="14" style="1" bestFit="1" customWidth="1"/>
    <col min="5384" max="5384" width="18.5703125" style="1" customWidth="1"/>
    <col min="5385" max="5385" width="16" style="1" customWidth="1"/>
    <col min="5386" max="5631" width="9.140625" style="1"/>
    <col min="5632" max="5632" width="4.140625" style="1" customWidth="1"/>
    <col min="5633" max="5633" width="7.28515625" style="1" customWidth="1"/>
    <col min="5634" max="5634" width="7.140625" style="1" customWidth="1"/>
    <col min="5635" max="5635" width="11.85546875" style="1" customWidth="1"/>
    <col min="5636" max="5636" width="4.85546875" style="1" customWidth="1"/>
    <col min="5637" max="5637" width="16.42578125" style="1" customWidth="1"/>
    <col min="5638" max="5638" width="2.85546875" style="1" customWidth="1"/>
    <col min="5639" max="5639" width="14" style="1" bestFit="1" customWidth="1"/>
    <col min="5640" max="5640" width="18.5703125" style="1" customWidth="1"/>
    <col min="5641" max="5641" width="16" style="1" customWidth="1"/>
    <col min="5642" max="5887" width="9.140625" style="1"/>
    <col min="5888" max="5888" width="4.140625" style="1" customWidth="1"/>
    <col min="5889" max="5889" width="7.28515625" style="1" customWidth="1"/>
    <col min="5890" max="5890" width="7.140625" style="1" customWidth="1"/>
    <col min="5891" max="5891" width="11.85546875" style="1" customWidth="1"/>
    <col min="5892" max="5892" width="4.85546875" style="1" customWidth="1"/>
    <col min="5893" max="5893" width="16.42578125" style="1" customWidth="1"/>
    <col min="5894" max="5894" width="2.85546875" style="1" customWidth="1"/>
    <col min="5895" max="5895" width="14" style="1" bestFit="1" customWidth="1"/>
    <col min="5896" max="5896" width="18.5703125" style="1" customWidth="1"/>
    <col min="5897" max="5897" width="16" style="1" customWidth="1"/>
    <col min="5898" max="6143" width="9.140625" style="1"/>
    <col min="6144" max="6144" width="4.140625" style="1" customWidth="1"/>
    <col min="6145" max="6145" width="7.28515625" style="1" customWidth="1"/>
    <col min="6146" max="6146" width="7.140625" style="1" customWidth="1"/>
    <col min="6147" max="6147" width="11.85546875" style="1" customWidth="1"/>
    <col min="6148" max="6148" width="4.85546875" style="1" customWidth="1"/>
    <col min="6149" max="6149" width="16.42578125" style="1" customWidth="1"/>
    <col min="6150" max="6150" width="2.85546875" style="1" customWidth="1"/>
    <col min="6151" max="6151" width="14" style="1" bestFit="1" customWidth="1"/>
    <col min="6152" max="6152" width="18.5703125" style="1" customWidth="1"/>
    <col min="6153" max="6153" width="16" style="1" customWidth="1"/>
    <col min="6154" max="6399" width="9.140625" style="1"/>
    <col min="6400" max="6400" width="4.140625" style="1" customWidth="1"/>
    <col min="6401" max="6401" width="7.28515625" style="1" customWidth="1"/>
    <col min="6402" max="6402" width="7.140625" style="1" customWidth="1"/>
    <col min="6403" max="6403" width="11.85546875" style="1" customWidth="1"/>
    <col min="6404" max="6404" width="4.85546875" style="1" customWidth="1"/>
    <col min="6405" max="6405" width="16.42578125" style="1" customWidth="1"/>
    <col min="6406" max="6406" width="2.85546875" style="1" customWidth="1"/>
    <col min="6407" max="6407" width="14" style="1" bestFit="1" customWidth="1"/>
    <col min="6408" max="6408" width="18.5703125" style="1" customWidth="1"/>
    <col min="6409" max="6409" width="16" style="1" customWidth="1"/>
    <col min="6410" max="6655" width="9.140625" style="1"/>
    <col min="6656" max="6656" width="4.140625" style="1" customWidth="1"/>
    <col min="6657" max="6657" width="7.28515625" style="1" customWidth="1"/>
    <col min="6658" max="6658" width="7.140625" style="1" customWidth="1"/>
    <col min="6659" max="6659" width="11.85546875" style="1" customWidth="1"/>
    <col min="6660" max="6660" width="4.85546875" style="1" customWidth="1"/>
    <col min="6661" max="6661" width="16.42578125" style="1" customWidth="1"/>
    <col min="6662" max="6662" width="2.85546875" style="1" customWidth="1"/>
    <col min="6663" max="6663" width="14" style="1" bestFit="1" customWidth="1"/>
    <col min="6664" max="6664" width="18.5703125" style="1" customWidth="1"/>
    <col min="6665" max="6665" width="16" style="1" customWidth="1"/>
    <col min="6666" max="6911" width="9.140625" style="1"/>
    <col min="6912" max="6912" width="4.140625" style="1" customWidth="1"/>
    <col min="6913" max="6913" width="7.28515625" style="1" customWidth="1"/>
    <col min="6914" max="6914" width="7.140625" style="1" customWidth="1"/>
    <col min="6915" max="6915" width="11.85546875" style="1" customWidth="1"/>
    <col min="6916" max="6916" width="4.85546875" style="1" customWidth="1"/>
    <col min="6917" max="6917" width="16.42578125" style="1" customWidth="1"/>
    <col min="6918" max="6918" width="2.85546875" style="1" customWidth="1"/>
    <col min="6919" max="6919" width="14" style="1" bestFit="1" customWidth="1"/>
    <col min="6920" max="6920" width="18.5703125" style="1" customWidth="1"/>
    <col min="6921" max="6921" width="16" style="1" customWidth="1"/>
    <col min="6922" max="7167" width="9.140625" style="1"/>
    <col min="7168" max="7168" width="4.140625" style="1" customWidth="1"/>
    <col min="7169" max="7169" width="7.28515625" style="1" customWidth="1"/>
    <col min="7170" max="7170" width="7.140625" style="1" customWidth="1"/>
    <col min="7171" max="7171" width="11.85546875" style="1" customWidth="1"/>
    <col min="7172" max="7172" width="4.85546875" style="1" customWidth="1"/>
    <col min="7173" max="7173" width="16.42578125" style="1" customWidth="1"/>
    <col min="7174" max="7174" width="2.85546875" style="1" customWidth="1"/>
    <col min="7175" max="7175" width="14" style="1" bestFit="1" customWidth="1"/>
    <col min="7176" max="7176" width="18.5703125" style="1" customWidth="1"/>
    <col min="7177" max="7177" width="16" style="1" customWidth="1"/>
    <col min="7178" max="7423" width="9.140625" style="1"/>
    <col min="7424" max="7424" width="4.140625" style="1" customWidth="1"/>
    <col min="7425" max="7425" width="7.28515625" style="1" customWidth="1"/>
    <col min="7426" max="7426" width="7.140625" style="1" customWidth="1"/>
    <col min="7427" max="7427" width="11.85546875" style="1" customWidth="1"/>
    <col min="7428" max="7428" width="4.85546875" style="1" customWidth="1"/>
    <col min="7429" max="7429" width="16.42578125" style="1" customWidth="1"/>
    <col min="7430" max="7430" width="2.85546875" style="1" customWidth="1"/>
    <col min="7431" max="7431" width="14" style="1" bestFit="1" customWidth="1"/>
    <col min="7432" max="7432" width="18.5703125" style="1" customWidth="1"/>
    <col min="7433" max="7433" width="16" style="1" customWidth="1"/>
    <col min="7434" max="7679" width="9.140625" style="1"/>
    <col min="7680" max="7680" width="4.140625" style="1" customWidth="1"/>
    <col min="7681" max="7681" width="7.28515625" style="1" customWidth="1"/>
    <col min="7682" max="7682" width="7.140625" style="1" customWidth="1"/>
    <col min="7683" max="7683" width="11.85546875" style="1" customWidth="1"/>
    <col min="7684" max="7684" width="4.85546875" style="1" customWidth="1"/>
    <col min="7685" max="7685" width="16.42578125" style="1" customWidth="1"/>
    <col min="7686" max="7686" width="2.85546875" style="1" customWidth="1"/>
    <col min="7687" max="7687" width="14" style="1" bestFit="1" customWidth="1"/>
    <col min="7688" max="7688" width="18.5703125" style="1" customWidth="1"/>
    <col min="7689" max="7689" width="16" style="1" customWidth="1"/>
    <col min="7690" max="7935" width="9.140625" style="1"/>
    <col min="7936" max="7936" width="4.140625" style="1" customWidth="1"/>
    <col min="7937" max="7937" width="7.28515625" style="1" customWidth="1"/>
    <col min="7938" max="7938" width="7.140625" style="1" customWidth="1"/>
    <col min="7939" max="7939" width="11.85546875" style="1" customWidth="1"/>
    <col min="7940" max="7940" width="4.85546875" style="1" customWidth="1"/>
    <col min="7941" max="7941" width="16.42578125" style="1" customWidth="1"/>
    <col min="7942" max="7942" width="2.85546875" style="1" customWidth="1"/>
    <col min="7943" max="7943" width="14" style="1" bestFit="1" customWidth="1"/>
    <col min="7944" max="7944" width="18.5703125" style="1" customWidth="1"/>
    <col min="7945" max="7945" width="16" style="1" customWidth="1"/>
    <col min="7946" max="8191" width="9.140625" style="1"/>
    <col min="8192" max="8192" width="4.140625" style="1" customWidth="1"/>
    <col min="8193" max="8193" width="7.28515625" style="1" customWidth="1"/>
    <col min="8194" max="8194" width="7.140625" style="1" customWidth="1"/>
    <col min="8195" max="8195" width="11.85546875" style="1" customWidth="1"/>
    <col min="8196" max="8196" width="4.85546875" style="1" customWidth="1"/>
    <col min="8197" max="8197" width="16.42578125" style="1" customWidth="1"/>
    <col min="8198" max="8198" width="2.85546875" style="1" customWidth="1"/>
    <col min="8199" max="8199" width="14" style="1" bestFit="1" customWidth="1"/>
    <col min="8200" max="8200" width="18.5703125" style="1" customWidth="1"/>
    <col min="8201" max="8201" width="16" style="1" customWidth="1"/>
    <col min="8202" max="8447" width="9.140625" style="1"/>
    <col min="8448" max="8448" width="4.140625" style="1" customWidth="1"/>
    <col min="8449" max="8449" width="7.28515625" style="1" customWidth="1"/>
    <col min="8450" max="8450" width="7.140625" style="1" customWidth="1"/>
    <col min="8451" max="8451" width="11.85546875" style="1" customWidth="1"/>
    <col min="8452" max="8452" width="4.85546875" style="1" customWidth="1"/>
    <col min="8453" max="8453" width="16.42578125" style="1" customWidth="1"/>
    <col min="8454" max="8454" width="2.85546875" style="1" customWidth="1"/>
    <col min="8455" max="8455" width="14" style="1" bestFit="1" customWidth="1"/>
    <col min="8456" max="8456" width="18.5703125" style="1" customWidth="1"/>
    <col min="8457" max="8457" width="16" style="1" customWidth="1"/>
    <col min="8458" max="8703" width="9.140625" style="1"/>
    <col min="8704" max="8704" width="4.140625" style="1" customWidth="1"/>
    <col min="8705" max="8705" width="7.28515625" style="1" customWidth="1"/>
    <col min="8706" max="8706" width="7.140625" style="1" customWidth="1"/>
    <col min="8707" max="8707" width="11.85546875" style="1" customWidth="1"/>
    <col min="8708" max="8708" width="4.85546875" style="1" customWidth="1"/>
    <col min="8709" max="8709" width="16.42578125" style="1" customWidth="1"/>
    <col min="8710" max="8710" width="2.85546875" style="1" customWidth="1"/>
    <col min="8711" max="8711" width="14" style="1" bestFit="1" customWidth="1"/>
    <col min="8712" max="8712" width="18.5703125" style="1" customWidth="1"/>
    <col min="8713" max="8713" width="16" style="1" customWidth="1"/>
    <col min="8714" max="8959" width="9.140625" style="1"/>
    <col min="8960" max="8960" width="4.140625" style="1" customWidth="1"/>
    <col min="8961" max="8961" width="7.28515625" style="1" customWidth="1"/>
    <col min="8962" max="8962" width="7.140625" style="1" customWidth="1"/>
    <col min="8963" max="8963" width="11.85546875" style="1" customWidth="1"/>
    <col min="8964" max="8964" width="4.85546875" style="1" customWidth="1"/>
    <col min="8965" max="8965" width="16.42578125" style="1" customWidth="1"/>
    <col min="8966" max="8966" width="2.85546875" style="1" customWidth="1"/>
    <col min="8967" max="8967" width="14" style="1" bestFit="1" customWidth="1"/>
    <col min="8968" max="8968" width="18.5703125" style="1" customWidth="1"/>
    <col min="8969" max="8969" width="16" style="1" customWidth="1"/>
    <col min="8970" max="9215" width="9.140625" style="1"/>
    <col min="9216" max="9216" width="4.140625" style="1" customWidth="1"/>
    <col min="9217" max="9217" width="7.28515625" style="1" customWidth="1"/>
    <col min="9218" max="9218" width="7.140625" style="1" customWidth="1"/>
    <col min="9219" max="9219" width="11.85546875" style="1" customWidth="1"/>
    <col min="9220" max="9220" width="4.85546875" style="1" customWidth="1"/>
    <col min="9221" max="9221" width="16.42578125" style="1" customWidth="1"/>
    <col min="9222" max="9222" width="2.85546875" style="1" customWidth="1"/>
    <col min="9223" max="9223" width="14" style="1" bestFit="1" customWidth="1"/>
    <col min="9224" max="9224" width="18.5703125" style="1" customWidth="1"/>
    <col min="9225" max="9225" width="16" style="1" customWidth="1"/>
    <col min="9226" max="9471" width="9.140625" style="1"/>
    <col min="9472" max="9472" width="4.140625" style="1" customWidth="1"/>
    <col min="9473" max="9473" width="7.28515625" style="1" customWidth="1"/>
    <col min="9474" max="9474" width="7.140625" style="1" customWidth="1"/>
    <col min="9475" max="9475" width="11.85546875" style="1" customWidth="1"/>
    <col min="9476" max="9476" width="4.85546875" style="1" customWidth="1"/>
    <col min="9477" max="9477" width="16.42578125" style="1" customWidth="1"/>
    <col min="9478" max="9478" width="2.85546875" style="1" customWidth="1"/>
    <col min="9479" max="9479" width="14" style="1" bestFit="1" customWidth="1"/>
    <col min="9480" max="9480" width="18.5703125" style="1" customWidth="1"/>
    <col min="9481" max="9481" width="16" style="1" customWidth="1"/>
    <col min="9482" max="9727" width="9.140625" style="1"/>
    <col min="9728" max="9728" width="4.140625" style="1" customWidth="1"/>
    <col min="9729" max="9729" width="7.28515625" style="1" customWidth="1"/>
    <col min="9730" max="9730" width="7.140625" style="1" customWidth="1"/>
    <col min="9731" max="9731" width="11.85546875" style="1" customWidth="1"/>
    <col min="9732" max="9732" width="4.85546875" style="1" customWidth="1"/>
    <col min="9733" max="9733" width="16.42578125" style="1" customWidth="1"/>
    <col min="9734" max="9734" width="2.85546875" style="1" customWidth="1"/>
    <col min="9735" max="9735" width="14" style="1" bestFit="1" customWidth="1"/>
    <col min="9736" max="9736" width="18.5703125" style="1" customWidth="1"/>
    <col min="9737" max="9737" width="16" style="1" customWidth="1"/>
    <col min="9738" max="9983" width="9.140625" style="1"/>
    <col min="9984" max="9984" width="4.140625" style="1" customWidth="1"/>
    <col min="9985" max="9985" width="7.28515625" style="1" customWidth="1"/>
    <col min="9986" max="9986" width="7.140625" style="1" customWidth="1"/>
    <col min="9987" max="9987" width="11.85546875" style="1" customWidth="1"/>
    <col min="9988" max="9988" width="4.85546875" style="1" customWidth="1"/>
    <col min="9989" max="9989" width="16.42578125" style="1" customWidth="1"/>
    <col min="9990" max="9990" width="2.85546875" style="1" customWidth="1"/>
    <col min="9991" max="9991" width="14" style="1" bestFit="1" customWidth="1"/>
    <col min="9992" max="9992" width="18.5703125" style="1" customWidth="1"/>
    <col min="9993" max="9993" width="16" style="1" customWidth="1"/>
    <col min="9994" max="10239" width="9.140625" style="1"/>
    <col min="10240" max="10240" width="4.140625" style="1" customWidth="1"/>
    <col min="10241" max="10241" width="7.28515625" style="1" customWidth="1"/>
    <col min="10242" max="10242" width="7.140625" style="1" customWidth="1"/>
    <col min="10243" max="10243" width="11.85546875" style="1" customWidth="1"/>
    <col min="10244" max="10244" width="4.85546875" style="1" customWidth="1"/>
    <col min="10245" max="10245" width="16.42578125" style="1" customWidth="1"/>
    <col min="10246" max="10246" width="2.85546875" style="1" customWidth="1"/>
    <col min="10247" max="10247" width="14" style="1" bestFit="1" customWidth="1"/>
    <col min="10248" max="10248" width="18.5703125" style="1" customWidth="1"/>
    <col min="10249" max="10249" width="16" style="1" customWidth="1"/>
    <col min="10250" max="10495" width="9.140625" style="1"/>
    <col min="10496" max="10496" width="4.140625" style="1" customWidth="1"/>
    <col min="10497" max="10497" width="7.28515625" style="1" customWidth="1"/>
    <col min="10498" max="10498" width="7.140625" style="1" customWidth="1"/>
    <col min="10499" max="10499" width="11.85546875" style="1" customWidth="1"/>
    <col min="10500" max="10500" width="4.85546875" style="1" customWidth="1"/>
    <col min="10501" max="10501" width="16.42578125" style="1" customWidth="1"/>
    <col min="10502" max="10502" width="2.85546875" style="1" customWidth="1"/>
    <col min="10503" max="10503" width="14" style="1" bestFit="1" customWidth="1"/>
    <col min="10504" max="10504" width="18.5703125" style="1" customWidth="1"/>
    <col min="10505" max="10505" width="16" style="1" customWidth="1"/>
    <col min="10506" max="10751" width="9.140625" style="1"/>
    <col min="10752" max="10752" width="4.140625" style="1" customWidth="1"/>
    <col min="10753" max="10753" width="7.28515625" style="1" customWidth="1"/>
    <col min="10754" max="10754" width="7.140625" style="1" customWidth="1"/>
    <col min="10755" max="10755" width="11.85546875" style="1" customWidth="1"/>
    <col min="10756" max="10756" width="4.85546875" style="1" customWidth="1"/>
    <col min="10757" max="10757" width="16.42578125" style="1" customWidth="1"/>
    <col min="10758" max="10758" width="2.85546875" style="1" customWidth="1"/>
    <col min="10759" max="10759" width="14" style="1" bestFit="1" customWidth="1"/>
    <col min="10760" max="10760" width="18.5703125" style="1" customWidth="1"/>
    <col min="10761" max="10761" width="16" style="1" customWidth="1"/>
    <col min="10762" max="11007" width="9.140625" style="1"/>
    <col min="11008" max="11008" width="4.140625" style="1" customWidth="1"/>
    <col min="11009" max="11009" width="7.28515625" style="1" customWidth="1"/>
    <col min="11010" max="11010" width="7.140625" style="1" customWidth="1"/>
    <col min="11011" max="11011" width="11.85546875" style="1" customWidth="1"/>
    <col min="11012" max="11012" width="4.85546875" style="1" customWidth="1"/>
    <col min="11013" max="11013" width="16.42578125" style="1" customWidth="1"/>
    <col min="11014" max="11014" width="2.85546875" style="1" customWidth="1"/>
    <col min="11015" max="11015" width="14" style="1" bestFit="1" customWidth="1"/>
    <col min="11016" max="11016" width="18.5703125" style="1" customWidth="1"/>
    <col min="11017" max="11017" width="16" style="1" customWidth="1"/>
    <col min="11018" max="11263" width="9.140625" style="1"/>
    <col min="11264" max="11264" width="4.140625" style="1" customWidth="1"/>
    <col min="11265" max="11265" width="7.28515625" style="1" customWidth="1"/>
    <col min="11266" max="11266" width="7.140625" style="1" customWidth="1"/>
    <col min="11267" max="11267" width="11.85546875" style="1" customWidth="1"/>
    <col min="11268" max="11268" width="4.85546875" style="1" customWidth="1"/>
    <col min="11269" max="11269" width="16.42578125" style="1" customWidth="1"/>
    <col min="11270" max="11270" width="2.85546875" style="1" customWidth="1"/>
    <col min="11271" max="11271" width="14" style="1" bestFit="1" customWidth="1"/>
    <col min="11272" max="11272" width="18.5703125" style="1" customWidth="1"/>
    <col min="11273" max="11273" width="16" style="1" customWidth="1"/>
    <col min="11274" max="11519" width="9.140625" style="1"/>
    <col min="11520" max="11520" width="4.140625" style="1" customWidth="1"/>
    <col min="11521" max="11521" width="7.28515625" style="1" customWidth="1"/>
    <col min="11522" max="11522" width="7.140625" style="1" customWidth="1"/>
    <col min="11523" max="11523" width="11.85546875" style="1" customWidth="1"/>
    <col min="11524" max="11524" width="4.85546875" style="1" customWidth="1"/>
    <col min="11525" max="11525" width="16.42578125" style="1" customWidth="1"/>
    <col min="11526" max="11526" width="2.85546875" style="1" customWidth="1"/>
    <col min="11527" max="11527" width="14" style="1" bestFit="1" customWidth="1"/>
    <col min="11528" max="11528" width="18.5703125" style="1" customWidth="1"/>
    <col min="11529" max="11529" width="16" style="1" customWidth="1"/>
    <col min="11530" max="11775" width="9.140625" style="1"/>
    <col min="11776" max="11776" width="4.140625" style="1" customWidth="1"/>
    <col min="11777" max="11777" width="7.28515625" style="1" customWidth="1"/>
    <col min="11778" max="11778" width="7.140625" style="1" customWidth="1"/>
    <col min="11779" max="11779" width="11.85546875" style="1" customWidth="1"/>
    <col min="11780" max="11780" width="4.85546875" style="1" customWidth="1"/>
    <col min="11781" max="11781" width="16.42578125" style="1" customWidth="1"/>
    <col min="11782" max="11782" width="2.85546875" style="1" customWidth="1"/>
    <col min="11783" max="11783" width="14" style="1" bestFit="1" customWidth="1"/>
    <col min="11784" max="11784" width="18.5703125" style="1" customWidth="1"/>
    <col min="11785" max="11785" width="16" style="1" customWidth="1"/>
    <col min="11786" max="12031" width="9.140625" style="1"/>
    <col min="12032" max="12032" width="4.140625" style="1" customWidth="1"/>
    <col min="12033" max="12033" width="7.28515625" style="1" customWidth="1"/>
    <col min="12034" max="12034" width="7.140625" style="1" customWidth="1"/>
    <col min="12035" max="12035" width="11.85546875" style="1" customWidth="1"/>
    <col min="12036" max="12036" width="4.85546875" style="1" customWidth="1"/>
    <col min="12037" max="12037" width="16.42578125" style="1" customWidth="1"/>
    <col min="12038" max="12038" width="2.85546875" style="1" customWidth="1"/>
    <col min="12039" max="12039" width="14" style="1" bestFit="1" customWidth="1"/>
    <col min="12040" max="12040" width="18.5703125" style="1" customWidth="1"/>
    <col min="12041" max="12041" width="16" style="1" customWidth="1"/>
    <col min="12042" max="12287" width="9.140625" style="1"/>
    <col min="12288" max="12288" width="4.140625" style="1" customWidth="1"/>
    <col min="12289" max="12289" width="7.28515625" style="1" customWidth="1"/>
    <col min="12290" max="12290" width="7.140625" style="1" customWidth="1"/>
    <col min="12291" max="12291" width="11.85546875" style="1" customWidth="1"/>
    <col min="12292" max="12292" width="4.85546875" style="1" customWidth="1"/>
    <col min="12293" max="12293" width="16.42578125" style="1" customWidth="1"/>
    <col min="12294" max="12294" width="2.85546875" style="1" customWidth="1"/>
    <col min="12295" max="12295" width="14" style="1" bestFit="1" customWidth="1"/>
    <col min="12296" max="12296" width="18.5703125" style="1" customWidth="1"/>
    <col min="12297" max="12297" width="16" style="1" customWidth="1"/>
    <col min="12298" max="12543" width="9.140625" style="1"/>
    <col min="12544" max="12544" width="4.140625" style="1" customWidth="1"/>
    <col min="12545" max="12545" width="7.28515625" style="1" customWidth="1"/>
    <col min="12546" max="12546" width="7.140625" style="1" customWidth="1"/>
    <col min="12547" max="12547" width="11.85546875" style="1" customWidth="1"/>
    <col min="12548" max="12548" width="4.85546875" style="1" customWidth="1"/>
    <col min="12549" max="12549" width="16.42578125" style="1" customWidth="1"/>
    <col min="12550" max="12550" width="2.85546875" style="1" customWidth="1"/>
    <col min="12551" max="12551" width="14" style="1" bestFit="1" customWidth="1"/>
    <col min="12552" max="12552" width="18.5703125" style="1" customWidth="1"/>
    <col min="12553" max="12553" width="16" style="1" customWidth="1"/>
    <col min="12554" max="12799" width="9.140625" style="1"/>
    <col min="12800" max="12800" width="4.140625" style="1" customWidth="1"/>
    <col min="12801" max="12801" width="7.28515625" style="1" customWidth="1"/>
    <col min="12802" max="12802" width="7.140625" style="1" customWidth="1"/>
    <col min="12803" max="12803" width="11.85546875" style="1" customWidth="1"/>
    <col min="12804" max="12804" width="4.85546875" style="1" customWidth="1"/>
    <col min="12805" max="12805" width="16.42578125" style="1" customWidth="1"/>
    <col min="12806" max="12806" width="2.85546875" style="1" customWidth="1"/>
    <col min="12807" max="12807" width="14" style="1" bestFit="1" customWidth="1"/>
    <col min="12808" max="12808" width="18.5703125" style="1" customWidth="1"/>
    <col min="12809" max="12809" width="16" style="1" customWidth="1"/>
    <col min="12810" max="13055" width="9.140625" style="1"/>
    <col min="13056" max="13056" width="4.140625" style="1" customWidth="1"/>
    <col min="13057" max="13057" width="7.28515625" style="1" customWidth="1"/>
    <col min="13058" max="13058" width="7.140625" style="1" customWidth="1"/>
    <col min="13059" max="13059" width="11.85546875" style="1" customWidth="1"/>
    <col min="13060" max="13060" width="4.85546875" style="1" customWidth="1"/>
    <col min="13061" max="13061" width="16.42578125" style="1" customWidth="1"/>
    <col min="13062" max="13062" width="2.85546875" style="1" customWidth="1"/>
    <col min="13063" max="13063" width="14" style="1" bestFit="1" customWidth="1"/>
    <col min="13064" max="13064" width="18.5703125" style="1" customWidth="1"/>
    <col min="13065" max="13065" width="16" style="1" customWidth="1"/>
    <col min="13066" max="13311" width="9.140625" style="1"/>
    <col min="13312" max="13312" width="4.140625" style="1" customWidth="1"/>
    <col min="13313" max="13313" width="7.28515625" style="1" customWidth="1"/>
    <col min="13314" max="13314" width="7.140625" style="1" customWidth="1"/>
    <col min="13315" max="13315" width="11.85546875" style="1" customWidth="1"/>
    <col min="13316" max="13316" width="4.85546875" style="1" customWidth="1"/>
    <col min="13317" max="13317" width="16.42578125" style="1" customWidth="1"/>
    <col min="13318" max="13318" width="2.85546875" style="1" customWidth="1"/>
    <col min="13319" max="13319" width="14" style="1" bestFit="1" customWidth="1"/>
    <col min="13320" max="13320" width="18.5703125" style="1" customWidth="1"/>
    <col min="13321" max="13321" width="16" style="1" customWidth="1"/>
    <col min="13322" max="13567" width="9.140625" style="1"/>
    <col min="13568" max="13568" width="4.140625" style="1" customWidth="1"/>
    <col min="13569" max="13569" width="7.28515625" style="1" customWidth="1"/>
    <col min="13570" max="13570" width="7.140625" style="1" customWidth="1"/>
    <col min="13571" max="13571" width="11.85546875" style="1" customWidth="1"/>
    <col min="13572" max="13572" width="4.85546875" style="1" customWidth="1"/>
    <col min="13573" max="13573" width="16.42578125" style="1" customWidth="1"/>
    <col min="13574" max="13574" width="2.85546875" style="1" customWidth="1"/>
    <col min="13575" max="13575" width="14" style="1" bestFit="1" customWidth="1"/>
    <col min="13576" max="13576" width="18.5703125" style="1" customWidth="1"/>
    <col min="13577" max="13577" width="16" style="1" customWidth="1"/>
    <col min="13578" max="13823" width="9.140625" style="1"/>
    <col min="13824" max="13824" width="4.140625" style="1" customWidth="1"/>
    <col min="13825" max="13825" width="7.28515625" style="1" customWidth="1"/>
    <col min="13826" max="13826" width="7.140625" style="1" customWidth="1"/>
    <col min="13827" max="13827" width="11.85546875" style="1" customWidth="1"/>
    <col min="13828" max="13828" width="4.85546875" style="1" customWidth="1"/>
    <col min="13829" max="13829" width="16.42578125" style="1" customWidth="1"/>
    <col min="13830" max="13830" width="2.85546875" style="1" customWidth="1"/>
    <col min="13831" max="13831" width="14" style="1" bestFit="1" customWidth="1"/>
    <col min="13832" max="13832" width="18.5703125" style="1" customWidth="1"/>
    <col min="13833" max="13833" width="16" style="1" customWidth="1"/>
    <col min="13834" max="14079" width="9.140625" style="1"/>
    <col min="14080" max="14080" width="4.140625" style="1" customWidth="1"/>
    <col min="14081" max="14081" width="7.28515625" style="1" customWidth="1"/>
    <col min="14082" max="14082" width="7.140625" style="1" customWidth="1"/>
    <col min="14083" max="14083" width="11.85546875" style="1" customWidth="1"/>
    <col min="14084" max="14084" width="4.85546875" style="1" customWidth="1"/>
    <col min="14085" max="14085" width="16.42578125" style="1" customWidth="1"/>
    <col min="14086" max="14086" width="2.85546875" style="1" customWidth="1"/>
    <col min="14087" max="14087" width="14" style="1" bestFit="1" customWidth="1"/>
    <col min="14088" max="14088" width="18.5703125" style="1" customWidth="1"/>
    <col min="14089" max="14089" width="16" style="1" customWidth="1"/>
    <col min="14090" max="14335" width="9.140625" style="1"/>
    <col min="14336" max="14336" width="4.140625" style="1" customWidth="1"/>
    <col min="14337" max="14337" width="7.28515625" style="1" customWidth="1"/>
    <col min="14338" max="14338" width="7.140625" style="1" customWidth="1"/>
    <col min="14339" max="14339" width="11.85546875" style="1" customWidth="1"/>
    <col min="14340" max="14340" width="4.85546875" style="1" customWidth="1"/>
    <col min="14341" max="14341" width="16.42578125" style="1" customWidth="1"/>
    <col min="14342" max="14342" width="2.85546875" style="1" customWidth="1"/>
    <col min="14343" max="14343" width="14" style="1" bestFit="1" customWidth="1"/>
    <col min="14344" max="14344" width="18.5703125" style="1" customWidth="1"/>
    <col min="14345" max="14345" width="16" style="1" customWidth="1"/>
    <col min="14346" max="14591" width="9.140625" style="1"/>
    <col min="14592" max="14592" width="4.140625" style="1" customWidth="1"/>
    <col min="14593" max="14593" width="7.28515625" style="1" customWidth="1"/>
    <col min="14594" max="14594" width="7.140625" style="1" customWidth="1"/>
    <col min="14595" max="14595" width="11.85546875" style="1" customWidth="1"/>
    <col min="14596" max="14596" width="4.85546875" style="1" customWidth="1"/>
    <col min="14597" max="14597" width="16.42578125" style="1" customWidth="1"/>
    <col min="14598" max="14598" width="2.85546875" style="1" customWidth="1"/>
    <col min="14599" max="14599" width="14" style="1" bestFit="1" customWidth="1"/>
    <col min="14600" max="14600" width="18.5703125" style="1" customWidth="1"/>
    <col min="14601" max="14601" width="16" style="1" customWidth="1"/>
    <col min="14602" max="14847" width="9.140625" style="1"/>
    <col min="14848" max="14848" width="4.140625" style="1" customWidth="1"/>
    <col min="14849" max="14849" width="7.28515625" style="1" customWidth="1"/>
    <col min="14850" max="14850" width="7.140625" style="1" customWidth="1"/>
    <col min="14851" max="14851" width="11.85546875" style="1" customWidth="1"/>
    <col min="14852" max="14852" width="4.85546875" style="1" customWidth="1"/>
    <col min="14853" max="14853" width="16.42578125" style="1" customWidth="1"/>
    <col min="14854" max="14854" width="2.85546875" style="1" customWidth="1"/>
    <col min="14855" max="14855" width="14" style="1" bestFit="1" customWidth="1"/>
    <col min="14856" max="14856" width="18.5703125" style="1" customWidth="1"/>
    <col min="14857" max="14857" width="16" style="1" customWidth="1"/>
    <col min="14858" max="15103" width="9.140625" style="1"/>
    <col min="15104" max="15104" width="4.140625" style="1" customWidth="1"/>
    <col min="15105" max="15105" width="7.28515625" style="1" customWidth="1"/>
    <col min="15106" max="15106" width="7.140625" style="1" customWidth="1"/>
    <col min="15107" max="15107" width="11.85546875" style="1" customWidth="1"/>
    <col min="15108" max="15108" width="4.85546875" style="1" customWidth="1"/>
    <col min="15109" max="15109" width="16.42578125" style="1" customWidth="1"/>
    <col min="15110" max="15110" width="2.85546875" style="1" customWidth="1"/>
    <col min="15111" max="15111" width="14" style="1" bestFit="1" customWidth="1"/>
    <col min="15112" max="15112" width="18.5703125" style="1" customWidth="1"/>
    <col min="15113" max="15113" width="16" style="1" customWidth="1"/>
    <col min="15114" max="15359" width="9.140625" style="1"/>
    <col min="15360" max="15360" width="4.140625" style="1" customWidth="1"/>
    <col min="15361" max="15361" width="7.28515625" style="1" customWidth="1"/>
    <col min="15362" max="15362" width="7.140625" style="1" customWidth="1"/>
    <col min="15363" max="15363" width="11.85546875" style="1" customWidth="1"/>
    <col min="15364" max="15364" width="4.85546875" style="1" customWidth="1"/>
    <col min="15365" max="15365" width="16.42578125" style="1" customWidth="1"/>
    <col min="15366" max="15366" width="2.85546875" style="1" customWidth="1"/>
    <col min="15367" max="15367" width="14" style="1" bestFit="1" customWidth="1"/>
    <col min="15368" max="15368" width="18.5703125" style="1" customWidth="1"/>
    <col min="15369" max="15369" width="16" style="1" customWidth="1"/>
    <col min="15370" max="15615" width="9.140625" style="1"/>
    <col min="15616" max="15616" width="4.140625" style="1" customWidth="1"/>
    <col min="15617" max="15617" width="7.28515625" style="1" customWidth="1"/>
    <col min="15618" max="15618" width="7.140625" style="1" customWidth="1"/>
    <col min="15619" max="15619" width="11.85546875" style="1" customWidth="1"/>
    <col min="15620" max="15620" width="4.85546875" style="1" customWidth="1"/>
    <col min="15621" max="15621" width="16.42578125" style="1" customWidth="1"/>
    <col min="15622" max="15622" width="2.85546875" style="1" customWidth="1"/>
    <col min="15623" max="15623" width="14" style="1" bestFit="1" customWidth="1"/>
    <col min="15624" max="15624" width="18.5703125" style="1" customWidth="1"/>
    <col min="15625" max="15625" width="16" style="1" customWidth="1"/>
    <col min="15626" max="15871" width="9.140625" style="1"/>
    <col min="15872" max="15872" width="4.140625" style="1" customWidth="1"/>
    <col min="15873" max="15873" width="7.28515625" style="1" customWidth="1"/>
    <col min="15874" max="15874" width="7.140625" style="1" customWidth="1"/>
    <col min="15875" max="15875" width="11.85546875" style="1" customWidth="1"/>
    <col min="15876" max="15876" width="4.85546875" style="1" customWidth="1"/>
    <col min="15877" max="15877" width="16.42578125" style="1" customWidth="1"/>
    <col min="15878" max="15878" width="2.85546875" style="1" customWidth="1"/>
    <col min="15879" max="15879" width="14" style="1" bestFit="1" customWidth="1"/>
    <col min="15880" max="15880" width="18.5703125" style="1" customWidth="1"/>
    <col min="15881" max="15881" width="16" style="1" customWidth="1"/>
    <col min="15882" max="16127" width="9.140625" style="1"/>
    <col min="16128" max="16128" width="4.140625" style="1" customWidth="1"/>
    <col min="16129" max="16129" width="7.28515625" style="1" customWidth="1"/>
    <col min="16130" max="16130" width="7.140625" style="1" customWidth="1"/>
    <col min="16131" max="16131" width="11.85546875" style="1" customWidth="1"/>
    <col min="16132" max="16132" width="4.85546875" style="1" customWidth="1"/>
    <col min="16133" max="16133" width="16.42578125" style="1" customWidth="1"/>
    <col min="16134" max="16134" width="2.85546875" style="1" customWidth="1"/>
    <col min="16135" max="16135" width="14" style="1" bestFit="1" customWidth="1"/>
    <col min="16136" max="16136" width="18.5703125" style="1" customWidth="1"/>
    <col min="16137" max="16137" width="16" style="1" customWidth="1"/>
    <col min="16138" max="16384" width="9.140625" style="1"/>
  </cols>
  <sheetData>
    <row r="1" spans="1:13" ht="1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3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13" ht="15" customHeight="1" x14ac:dyDescent="0.25">
      <c r="A3" s="33"/>
      <c r="B3" s="229" t="str">
        <f>'Ввод данных'!A4</f>
        <v>Предположения</v>
      </c>
      <c r="C3" s="229"/>
      <c r="D3" s="246"/>
      <c r="E3" s="246"/>
      <c r="F3" s="246"/>
      <c r="G3" s="246"/>
      <c r="H3" s="246"/>
      <c r="I3" s="246"/>
    </row>
    <row r="4" spans="1:13" ht="15" customHeight="1" x14ac:dyDescent="0.25">
      <c r="A4" s="33"/>
      <c r="B4" s="33"/>
      <c r="C4" s="33"/>
      <c r="D4" s="33"/>
      <c r="E4" s="55"/>
      <c r="F4" s="55"/>
      <c r="G4" s="55"/>
      <c r="H4" s="55"/>
      <c r="I4" s="55"/>
    </row>
    <row r="5" spans="1:13" ht="15" customHeight="1" x14ac:dyDescent="0.25">
      <c r="A5" s="33"/>
      <c r="B5" s="247" t="str">
        <f>"1.  Данная смета отражает себестоимость производства в племенном хозяйстве с поголовьем в "&amp;'Ввод данных'!E14&amp;" коров, "&amp;'Ввод данных'!E15&amp;" быков и "&amp;'Ввод данных'!E16&amp;"% приплода отъемных телят."</f>
        <v>1.  Данная смета отражает себестоимость производства в племенном хозяйстве с поголовьем в 500 коров, 20 быков и 62% приплода отъемных телят.</v>
      </c>
      <c r="C5" s="248"/>
      <c r="D5" s="248"/>
      <c r="E5" s="248"/>
      <c r="F5" s="248"/>
      <c r="G5" s="248"/>
      <c r="H5" s="248"/>
      <c r="I5" s="248"/>
    </row>
    <row r="6" spans="1:13" ht="15" customHeight="1" x14ac:dyDescent="0.25">
      <c r="A6" s="33"/>
      <c r="B6" s="248"/>
      <c r="C6" s="248"/>
      <c r="D6" s="248"/>
      <c r="E6" s="248"/>
      <c r="F6" s="248"/>
      <c r="G6" s="248"/>
      <c r="H6" s="248"/>
      <c r="I6" s="248"/>
    </row>
    <row r="7" spans="1:13" ht="15" customHeight="1" x14ac:dyDescent="0.25">
      <c r="A7" s="33"/>
      <c r="B7" s="56" t="str">
        <f>'Ввод данных'!A7</f>
        <v>2.  Здания и оборудование оценены согласно первоначальной стоимости.</v>
      </c>
      <c r="C7" s="56"/>
      <c r="D7" s="4"/>
      <c r="E7" s="4"/>
      <c r="F7" s="4"/>
      <c r="G7" s="4"/>
      <c r="H7" s="4"/>
      <c r="I7" s="4"/>
    </row>
    <row r="8" spans="1:13" ht="15" customHeight="1" x14ac:dyDescent="0.25">
      <c r="A8" s="33"/>
      <c r="B8" s="56" t="s">
        <v>221</v>
      </c>
      <c r="C8" s="56"/>
      <c r="D8" s="4"/>
      <c r="E8" s="4"/>
      <c r="F8" s="4"/>
      <c r="G8" s="4"/>
      <c r="H8" s="4"/>
      <c r="I8" s="4"/>
    </row>
    <row r="9" spans="1:13" ht="15" customHeight="1" x14ac:dyDescent="0.25">
      <c r="A9" s="33"/>
      <c r="B9" s="56" t="str">
        <f>'Ввод данных'!A9</f>
        <v>4.  Вывоз навоза производится на контрактной основе.</v>
      </c>
      <c r="C9" s="56"/>
      <c r="D9" s="4"/>
      <c r="E9" s="4"/>
      <c r="F9" s="4"/>
      <c r="G9" s="4"/>
      <c r="H9" s="4"/>
      <c r="I9" s="4"/>
    </row>
    <row r="10" spans="1:13" ht="15" customHeight="1" x14ac:dyDescent="0.25">
      <c r="A10" s="33"/>
      <c r="B10" s="56" t="str">
        <f>'Ввод данных'!A10</f>
        <v>5.  Ремонтные телки оценены по справедливой рыночной стоимости.</v>
      </c>
      <c r="C10" s="56"/>
      <c r="D10" s="4"/>
      <c r="E10" s="4"/>
      <c r="F10" s="4"/>
      <c r="G10" s="4"/>
      <c r="H10" s="4"/>
      <c r="I10" s="4"/>
    </row>
    <row r="11" spans="1:13" ht="15" customHeight="1" x14ac:dyDescent="0.25">
      <c r="A11" s="33"/>
      <c r="B11" s="255" t="str">
        <f>"6.  Данная смета предполагает средний отъемный вес в "&amp;'Ввод данных'!E17&amp;" кг. (бычки по 318 кг и телки по 282 кг.)"</f>
        <v>6.  Данная смета предполагает средний отъемный вес в 300 кг. (бычки по 318 кг и телки по 282 кг.)</v>
      </c>
      <c r="C11" s="255"/>
      <c r="D11" s="255"/>
      <c r="E11" s="255"/>
      <c r="F11" s="255"/>
      <c r="G11" s="255"/>
      <c r="H11" s="255"/>
      <c r="I11" s="255"/>
      <c r="J11" s="255"/>
    </row>
    <row r="12" spans="1:13" ht="15" customHeight="1" x14ac:dyDescent="0.25">
      <c r="A12" s="33"/>
      <c r="B12" s="75"/>
      <c r="C12" s="75"/>
      <c r="D12" s="75"/>
      <c r="E12" s="75"/>
      <c r="F12" s="75"/>
      <c r="G12" s="75"/>
      <c r="H12" s="75"/>
      <c r="I12" s="75"/>
      <c r="M12" s="87"/>
    </row>
    <row r="13" spans="1:13" ht="15" customHeight="1" x14ac:dyDescent="0.25">
      <c r="A13" s="33"/>
      <c r="B13" s="4"/>
      <c r="C13" s="4"/>
      <c r="D13" s="4"/>
      <c r="E13" s="4"/>
      <c r="F13" s="4"/>
      <c r="G13" s="4"/>
      <c r="H13" s="4"/>
      <c r="I13" s="4"/>
    </row>
    <row r="14" spans="1:13" ht="15" customHeight="1" x14ac:dyDescent="0.25">
      <c r="A14" s="33"/>
      <c r="B14" s="4"/>
      <c r="C14" s="4"/>
      <c r="D14" s="4"/>
      <c r="E14" s="4"/>
      <c r="F14" s="4"/>
      <c r="G14" s="4"/>
      <c r="H14" s="4"/>
      <c r="I14" s="4"/>
    </row>
    <row r="15" spans="1:13" ht="15" customHeight="1" x14ac:dyDescent="0.25">
      <c r="A15" s="249" t="s">
        <v>119</v>
      </c>
      <c r="B15" s="250"/>
      <c r="C15" s="250"/>
      <c r="D15" s="250"/>
      <c r="E15" s="250"/>
      <c r="F15" s="250"/>
      <c r="G15" s="250"/>
      <c r="H15" s="250"/>
      <c r="I15" s="250"/>
    </row>
    <row r="16" spans="1:13" ht="15" customHeight="1" x14ac:dyDescent="0.25">
      <c r="A16" s="33"/>
      <c r="B16" s="14"/>
      <c r="C16" s="14"/>
      <c r="D16" s="4"/>
      <c r="E16" s="4"/>
      <c r="F16" s="4"/>
      <c r="G16" s="4"/>
      <c r="H16" s="4"/>
      <c r="I16" s="4"/>
    </row>
    <row r="17" spans="1:9" ht="15" customHeight="1" x14ac:dyDescent="0.25">
      <c r="A17" s="57"/>
      <c r="B17" s="3" t="s">
        <v>126</v>
      </c>
      <c r="C17" s="4"/>
      <c r="D17" s="4"/>
      <c r="E17" s="4"/>
      <c r="F17" s="4"/>
      <c r="G17" s="4"/>
      <c r="H17" s="4"/>
      <c r="I17" s="4"/>
    </row>
    <row r="18" spans="1:9" ht="15" customHeight="1" x14ac:dyDescent="0.25">
      <c r="A18" s="33"/>
      <c r="B18" s="14" t="s">
        <v>13</v>
      </c>
      <c r="C18" s="14"/>
      <c r="D18" s="4"/>
      <c r="E18" s="4"/>
      <c r="F18" s="4"/>
      <c r="G18" s="4"/>
      <c r="H18" s="4"/>
      <c r="I18" s="4"/>
    </row>
    <row r="19" spans="1:9" ht="15" customHeight="1" x14ac:dyDescent="0.25">
      <c r="A19" s="33"/>
      <c r="C19" s="14" t="s">
        <v>347</v>
      </c>
      <c r="D19" s="4"/>
      <c r="E19" s="4"/>
      <c r="F19" s="4"/>
      <c r="G19" s="4"/>
      <c r="H19" s="4"/>
      <c r="I19" s="4"/>
    </row>
    <row r="20" spans="1:9" ht="15" customHeight="1" x14ac:dyDescent="0.25">
      <c r="A20" s="33"/>
      <c r="C20" s="14"/>
      <c r="D20" s="4" t="s">
        <v>300</v>
      </c>
      <c r="E20" s="140" t="s">
        <v>4</v>
      </c>
      <c r="F20" s="172">
        <f>'Ввод данных'!E39</f>
        <v>12500</v>
      </c>
      <c r="G20" s="14"/>
      <c r="H20" s="140" t="s">
        <v>116</v>
      </c>
      <c r="I20" s="4"/>
    </row>
    <row r="21" spans="1:9" ht="15" customHeight="1" x14ac:dyDescent="0.25">
      <c r="A21" s="33"/>
      <c r="B21" s="4"/>
      <c r="C21" s="4"/>
      <c r="D21" s="4"/>
      <c r="E21" s="14"/>
      <c r="F21" s="100"/>
      <c r="G21" s="14"/>
      <c r="H21" s="14"/>
      <c r="I21" s="4"/>
    </row>
    <row r="22" spans="1:9" ht="15" customHeight="1" x14ac:dyDescent="0.25">
      <c r="A22" s="33"/>
      <c r="B22" s="4"/>
      <c r="C22" s="4"/>
      <c r="D22" s="4" t="s">
        <v>301</v>
      </c>
      <c r="E22" s="140" t="s">
        <v>4</v>
      </c>
      <c r="F22" s="172">
        <f>'Ввод данных'!E178</f>
        <v>12500</v>
      </c>
      <c r="G22" s="14"/>
      <c r="H22" s="140" t="s">
        <v>116</v>
      </c>
      <c r="I22" s="4"/>
    </row>
    <row r="23" spans="1:9" ht="15" customHeight="1" x14ac:dyDescent="0.25">
      <c r="A23" s="33"/>
      <c r="B23" s="4"/>
      <c r="C23" s="4"/>
      <c r="D23" s="4"/>
      <c r="I23" s="4"/>
    </row>
    <row r="24" spans="1:9" ht="15" customHeight="1" x14ac:dyDescent="0.35">
      <c r="A24" s="33"/>
      <c r="B24" s="4"/>
      <c r="C24" s="4"/>
      <c r="D24" s="6" t="s">
        <v>302</v>
      </c>
      <c r="E24" s="191" t="s">
        <v>4</v>
      </c>
      <c r="F24" s="173">
        <f>'Ввод данных'!E247</f>
        <v>12500</v>
      </c>
      <c r="G24" s="192"/>
      <c r="H24" s="191" t="s">
        <v>116</v>
      </c>
      <c r="I24" s="4"/>
    </row>
    <row r="25" spans="1:9" ht="15" customHeight="1" x14ac:dyDescent="0.25">
      <c r="A25" s="33"/>
      <c r="B25" s="4"/>
      <c r="C25" s="4"/>
      <c r="D25" s="4"/>
      <c r="I25" s="4"/>
    </row>
    <row r="26" spans="1:9" ht="15" customHeight="1" x14ac:dyDescent="0.25">
      <c r="A26" s="33"/>
      <c r="B26" s="4"/>
      <c r="C26" s="4"/>
      <c r="D26" s="82" t="s">
        <v>14</v>
      </c>
      <c r="E26" s="141" t="s">
        <v>4</v>
      </c>
      <c r="F26" s="100">
        <f>F20+((F22+F24)*'Ввод данных'!E16/100)</f>
        <v>28000</v>
      </c>
      <c r="G26" s="14"/>
      <c r="H26" s="141" t="s">
        <v>348</v>
      </c>
      <c r="I26" s="4"/>
    </row>
    <row r="27" spans="1:9" ht="15" customHeight="1" x14ac:dyDescent="0.25">
      <c r="A27" s="33"/>
      <c r="B27" s="4"/>
      <c r="C27" s="4"/>
      <c r="D27" s="4"/>
      <c r="E27" s="14"/>
      <c r="F27" s="100"/>
      <c r="G27" s="14"/>
      <c r="H27" s="14"/>
      <c r="I27" s="4"/>
    </row>
    <row r="28" spans="1:9" ht="15" customHeight="1" x14ac:dyDescent="0.25">
      <c r="A28" s="33"/>
      <c r="B28" s="4"/>
      <c r="C28" s="4"/>
      <c r="D28" s="4"/>
      <c r="E28" s="4"/>
      <c r="F28" s="4"/>
      <c r="G28" s="4"/>
      <c r="H28" s="4"/>
      <c r="I28" s="4"/>
    </row>
    <row r="29" spans="1:9" ht="15" customHeight="1" x14ac:dyDescent="0.25">
      <c r="A29" s="33"/>
      <c r="C29" s="14" t="s">
        <v>299</v>
      </c>
      <c r="D29" s="4"/>
      <c r="E29" s="4"/>
      <c r="F29" s="4"/>
      <c r="G29" s="4"/>
      <c r="H29" s="4"/>
      <c r="I29" s="4"/>
    </row>
    <row r="30" spans="1:9" ht="15" customHeight="1" x14ac:dyDescent="0.25">
      <c r="A30" s="33"/>
      <c r="C30" s="14"/>
      <c r="D30" s="4" t="s">
        <v>300</v>
      </c>
      <c r="E30" s="4" t="s">
        <v>4</v>
      </c>
      <c r="F30" s="102">
        <f>'Ввод данных'!E50</f>
        <v>22200</v>
      </c>
      <c r="G30" s="4"/>
      <c r="H30" s="4" t="s">
        <v>116</v>
      </c>
      <c r="I30" s="4"/>
    </row>
    <row r="31" spans="1:9" ht="15" customHeight="1" x14ac:dyDescent="0.25">
      <c r="A31" s="33"/>
      <c r="B31" s="4"/>
      <c r="C31" s="4"/>
      <c r="D31" s="4"/>
      <c r="E31" s="4"/>
      <c r="F31" s="4"/>
      <c r="G31" s="4"/>
      <c r="H31" s="4"/>
      <c r="I31" s="4"/>
    </row>
    <row r="32" spans="1:9" ht="15" customHeight="1" x14ac:dyDescent="0.25">
      <c r="A32" s="33"/>
      <c r="B32" s="4"/>
      <c r="C32" s="4"/>
      <c r="D32" s="91" t="s">
        <v>301</v>
      </c>
      <c r="E32" s="4" t="s">
        <v>4</v>
      </c>
      <c r="F32" s="102">
        <f>'Ввод данных'!E189</f>
        <v>9000</v>
      </c>
      <c r="G32" s="4"/>
      <c r="H32" s="4" t="s">
        <v>116</v>
      </c>
      <c r="I32" s="4"/>
    </row>
    <row r="33" spans="1:9" ht="15" customHeight="1" x14ac:dyDescent="0.25">
      <c r="A33" s="33"/>
      <c r="B33" s="4"/>
      <c r="C33" s="4"/>
      <c r="D33" s="4"/>
      <c r="E33" s="4"/>
      <c r="F33" s="4"/>
      <c r="G33" s="4"/>
      <c r="H33" s="4"/>
      <c r="I33" s="4"/>
    </row>
    <row r="34" spans="1:9" ht="15" customHeight="1" x14ac:dyDescent="0.35">
      <c r="A34" s="33"/>
      <c r="B34" s="4"/>
      <c r="C34" s="4"/>
      <c r="D34" s="177" t="s">
        <v>302</v>
      </c>
      <c r="E34" s="6" t="s">
        <v>4</v>
      </c>
      <c r="F34" s="130">
        <f>'Ввод данных'!E258</f>
        <v>21000</v>
      </c>
      <c r="G34" s="4"/>
      <c r="H34" s="6" t="s">
        <v>116</v>
      </c>
      <c r="I34" s="4"/>
    </row>
    <row r="35" spans="1:9" ht="15" customHeight="1" x14ac:dyDescent="0.25">
      <c r="A35" s="33"/>
      <c r="B35" s="4"/>
      <c r="C35" s="4"/>
      <c r="D35" s="4"/>
      <c r="E35" s="4"/>
      <c r="F35" s="101"/>
      <c r="G35" s="4"/>
      <c r="H35" s="4"/>
      <c r="I35" s="4"/>
    </row>
    <row r="36" spans="1:9" ht="15" customHeight="1" x14ac:dyDescent="0.25">
      <c r="A36" s="33"/>
      <c r="B36" s="4"/>
      <c r="C36" s="4"/>
      <c r="D36" s="14" t="s">
        <v>294</v>
      </c>
      <c r="E36" s="14" t="s">
        <v>4</v>
      </c>
      <c r="F36" s="100">
        <f>ROUND(F30+((F32+F34)*'Ввод данных'!E16/100),2)</f>
        <v>40800</v>
      </c>
      <c r="G36" s="14"/>
      <c r="H36" s="14" t="s">
        <v>116</v>
      </c>
      <c r="I36" s="4"/>
    </row>
    <row r="37" spans="1:9" ht="15" customHeight="1" x14ac:dyDescent="0.25">
      <c r="A37" s="33"/>
      <c r="B37" s="4"/>
      <c r="C37" s="4"/>
      <c r="D37" s="4"/>
      <c r="E37" s="4"/>
      <c r="F37" s="4"/>
      <c r="G37" s="4"/>
      <c r="H37" s="4"/>
      <c r="I37" s="4"/>
    </row>
    <row r="38" spans="1:9" ht="15" customHeight="1" x14ac:dyDescent="0.25">
      <c r="A38" s="33"/>
      <c r="C38" s="14" t="s">
        <v>128</v>
      </c>
      <c r="D38" s="4"/>
      <c r="E38" s="4"/>
      <c r="F38" s="4"/>
      <c r="G38" s="4"/>
      <c r="H38" s="4"/>
      <c r="I38" s="4"/>
    </row>
    <row r="39" spans="1:9" ht="15" customHeight="1" x14ac:dyDescent="0.25">
      <c r="A39" s="33"/>
      <c r="B39" s="4"/>
      <c r="C39" s="4"/>
      <c r="D39" s="4" t="s">
        <v>300</v>
      </c>
      <c r="E39" s="4" t="s">
        <v>4</v>
      </c>
      <c r="F39" s="102">
        <f>'Ввод данных'!E61</f>
        <v>1733.5999999999997</v>
      </c>
      <c r="G39" s="4"/>
      <c r="H39" s="4" t="s">
        <v>116</v>
      </c>
      <c r="I39" s="4"/>
    </row>
    <row r="40" spans="1:9" ht="15" customHeight="1" x14ac:dyDescent="0.25">
      <c r="A40" s="33"/>
      <c r="B40" s="4"/>
      <c r="C40" s="4"/>
      <c r="D40" s="4"/>
      <c r="E40" s="4"/>
      <c r="F40" s="106"/>
      <c r="G40" s="12"/>
      <c r="H40" s="4"/>
      <c r="I40" s="4"/>
    </row>
    <row r="41" spans="1:9" ht="15" customHeight="1" x14ac:dyDescent="0.25">
      <c r="A41" s="33"/>
      <c r="B41" s="4"/>
      <c r="C41" s="4"/>
      <c r="D41" s="91" t="s">
        <v>301</v>
      </c>
      <c r="E41" s="4" t="s">
        <v>4</v>
      </c>
      <c r="F41" s="102">
        <f>'Ввод данных'!E200</f>
        <v>0</v>
      </c>
      <c r="G41" s="4"/>
      <c r="H41" s="4" t="s">
        <v>116</v>
      </c>
      <c r="I41" s="4"/>
    </row>
    <row r="42" spans="1:9" ht="15" customHeight="1" x14ac:dyDescent="0.25">
      <c r="A42" s="33"/>
      <c r="B42" s="4"/>
      <c r="C42" s="4"/>
      <c r="D42" s="4"/>
      <c r="E42" s="4"/>
      <c r="F42" s="62"/>
      <c r="G42" s="4"/>
      <c r="H42" s="4"/>
      <c r="I42" s="4"/>
    </row>
    <row r="43" spans="1:9" ht="15" customHeight="1" x14ac:dyDescent="0.35">
      <c r="A43" s="33"/>
      <c r="B43" s="4"/>
      <c r="C43" s="4"/>
      <c r="D43" s="177" t="s">
        <v>302</v>
      </c>
      <c r="E43" s="6" t="s">
        <v>4</v>
      </c>
      <c r="F43" s="130">
        <f>'Ввод данных'!E269</f>
        <v>0</v>
      </c>
      <c r="G43" s="4"/>
      <c r="H43" s="6" t="s">
        <v>116</v>
      </c>
      <c r="I43" s="4"/>
    </row>
    <row r="44" spans="1:9" ht="15" customHeight="1" x14ac:dyDescent="0.25">
      <c r="A44" s="33"/>
      <c r="B44" s="4"/>
      <c r="C44" s="4"/>
      <c r="D44" s="4"/>
      <c r="E44" s="4"/>
      <c r="F44" s="106"/>
      <c r="G44" s="12"/>
      <c r="H44" s="12"/>
      <c r="I44" s="4"/>
    </row>
    <row r="45" spans="1:9" ht="15" customHeight="1" x14ac:dyDescent="0.25">
      <c r="A45" s="33"/>
      <c r="B45" s="4"/>
      <c r="C45" s="4"/>
      <c r="D45" s="14" t="s">
        <v>14</v>
      </c>
      <c r="E45" s="14" t="s">
        <v>4</v>
      </c>
      <c r="F45" s="111">
        <f>F39+((F41+F43)*'Ввод данных'!E16/100)</f>
        <v>1733.5999999999997</v>
      </c>
      <c r="G45" s="4"/>
      <c r="H45" s="14" t="s">
        <v>116</v>
      </c>
      <c r="I45" s="4"/>
    </row>
    <row r="46" spans="1:9" ht="15" customHeight="1" x14ac:dyDescent="0.25">
      <c r="A46" s="33"/>
      <c r="B46" s="4"/>
      <c r="C46" s="4"/>
      <c r="D46" s="4"/>
      <c r="E46" s="4"/>
      <c r="F46" s="4"/>
      <c r="G46" s="4"/>
      <c r="H46" s="4" t="s">
        <v>0</v>
      </c>
      <c r="I46" s="4" t="s">
        <v>0</v>
      </c>
    </row>
    <row r="47" spans="1:9" ht="15" customHeight="1" x14ac:dyDescent="0.25">
      <c r="A47" s="33"/>
      <c r="B47" s="4"/>
      <c r="C47" s="14" t="s">
        <v>295</v>
      </c>
      <c r="D47" s="14"/>
      <c r="E47" s="14"/>
      <c r="F47" s="100"/>
      <c r="G47" s="4"/>
      <c r="H47" s="14"/>
      <c r="I47" s="4"/>
    </row>
    <row r="48" spans="1:9" ht="15" customHeight="1" x14ac:dyDescent="0.25">
      <c r="A48" s="33"/>
      <c r="B48" s="4"/>
      <c r="C48" s="14"/>
      <c r="D48" s="4" t="s">
        <v>300</v>
      </c>
      <c r="E48" s="4" t="s">
        <v>4</v>
      </c>
      <c r="F48" s="172">
        <f>'Ввод данных'!E72</f>
        <v>10680</v>
      </c>
      <c r="G48" s="4"/>
      <c r="H48" s="4" t="s">
        <v>116</v>
      </c>
      <c r="I48" s="4"/>
    </row>
    <row r="49" spans="1:9" ht="15" customHeight="1" x14ac:dyDescent="0.25">
      <c r="A49" s="33"/>
      <c r="B49" s="4"/>
      <c r="C49" s="4"/>
      <c r="D49" s="14"/>
      <c r="E49" s="4"/>
      <c r="F49" s="100"/>
      <c r="G49" s="4"/>
      <c r="H49" s="4"/>
      <c r="I49" s="4"/>
    </row>
    <row r="50" spans="1:9" ht="15" customHeight="1" x14ac:dyDescent="0.25">
      <c r="A50" s="33"/>
      <c r="B50" s="4"/>
      <c r="C50" s="4"/>
      <c r="D50" s="91" t="s">
        <v>301</v>
      </c>
      <c r="E50" s="4" t="s">
        <v>4</v>
      </c>
      <c r="F50" s="172">
        <f>'Ввод данных'!E211</f>
        <v>0</v>
      </c>
      <c r="G50" s="4"/>
      <c r="H50" s="4" t="s">
        <v>116</v>
      </c>
      <c r="I50" s="4"/>
    </row>
    <row r="51" spans="1:9" ht="15" customHeight="1" x14ac:dyDescent="0.25">
      <c r="A51" s="33"/>
      <c r="B51" s="4"/>
      <c r="C51" s="4"/>
      <c r="D51" s="14"/>
      <c r="E51" s="4"/>
      <c r="F51" s="100"/>
      <c r="G51" s="4"/>
      <c r="H51" s="4"/>
      <c r="I51" s="4"/>
    </row>
    <row r="52" spans="1:9" ht="15" customHeight="1" x14ac:dyDescent="0.35">
      <c r="A52" s="33"/>
      <c r="B52" s="4"/>
      <c r="C52" s="4"/>
      <c r="D52" s="177" t="s">
        <v>302</v>
      </c>
      <c r="E52" s="6" t="s">
        <v>4</v>
      </c>
      <c r="F52" s="173">
        <f>'Ввод данных'!E280</f>
        <v>0</v>
      </c>
      <c r="G52" s="4"/>
      <c r="H52" s="6" t="s">
        <v>116</v>
      </c>
      <c r="I52" s="4"/>
    </row>
    <row r="53" spans="1:9" ht="15" customHeight="1" x14ac:dyDescent="0.25">
      <c r="A53" s="33"/>
      <c r="B53" s="4"/>
      <c r="C53" s="4"/>
      <c r="D53" s="14"/>
      <c r="E53" s="14"/>
      <c r="F53" s="100"/>
      <c r="G53" s="4"/>
      <c r="H53" s="14"/>
      <c r="I53" s="4"/>
    </row>
    <row r="54" spans="1:9" ht="15" customHeight="1" x14ac:dyDescent="0.25">
      <c r="A54" s="33"/>
      <c r="B54" s="4"/>
      <c r="C54" s="4"/>
      <c r="D54" s="14" t="s">
        <v>296</v>
      </c>
      <c r="E54" s="14" t="s">
        <v>4</v>
      </c>
      <c r="F54" s="100">
        <f>F48+((F50+F52)*'Ввод данных'!E16/100)</f>
        <v>10680</v>
      </c>
      <c r="G54" s="4"/>
      <c r="H54" s="14" t="s">
        <v>116</v>
      </c>
      <c r="I54" s="4"/>
    </row>
    <row r="55" spans="1:9" ht="15" customHeight="1" x14ac:dyDescent="0.25">
      <c r="A55" s="33"/>
      <c r="B55" s="4"/>
      <c r="C55" s="4"/>
      <c r="D55" s="14"/>
      <c r="E55" s="14"/>
      <c r="F55" s="100"/>
      <c r="G55" s="4"/>
      <c r="H55" s="14"/>
      <c r="I55" s="4"/>
    </row>
    <row r="56" spans="1:9" ht="15" customHeight="1" x14ac:dyDescent="0.25">
      <c r="A56" s="33"/>
      <c r="B56" s="4"/>
      <c r="C56" s="14" t="s">
        <v>349</v>
      </c>
      <c r="D56" s="14"/>
      <c r="E56" s="14"/>
      <c r="F56" s="100"/>
      <c r="G56" s="4"/>
      <c r="H56" s="14"/>
      <c r="I56" s="4"/>
    </row>
    <row r="57" spans="1:9" ht="15" customHeight="1" x14ac:dyDescent="0.25">
      <c r="A57" s="33"/>
      <c r="B57" s="4"/>
      <c r="C57" s="14"/>
      <c r="D57" s="4" t="s">
        <v>300</v>
      </c>
      <c r="E57" s="4" t="s">
        <v>4</v>
      </c>
      <c r="F57" s="172">
        <f>'Ввод данных'!E83</f>
        <v>20550</v>
      </c>
      <c r="G57" s="4"/>
      <c r="H57" s="4" t="s">
        <v>116</v>
      </c>
      <c r="I57" s="4"/>
    </row>
    <row r="58" spans="1:9" ht="15" customHeight="1" x14ac:dyDescent="0.25">
      <c r="A58" s="33"/>
      <c r="B58" s="4"/>
      <c r="C58" s="4"/>
      <c r="D58" s="14"/>
      <c r="E58" s="4"/>
      <c r="F58" s="172"/>
      <c r="G58" s="4"/>
      <c r="H58" s="4"/>
      <c r="I58" s="4"/>
    </row>
    <row r="59" spans="1:9" ht="15" customHeight="1" x14ac:dyDescent="0.25">
      <c r="A59" s="33"/>
      <c r="B59" s="4"/>
      <c r="C59" s="4"/>
      <c r="D59" s="91" t="s">
        <v>301</v>
      </c>
      <c r="E59" s="4" t="s">
        <v>4</v>
      </c>
      <c r="F59" s="172">
        <f>'Ввод данных'!E222</f>
        <v>0</v>
      </c>
      <c r="G59" s="4"/>
      <c r="H59" s="4" t="s">
        <v>116</v>
      </c>
      <c r="I59" s="4"/>
    </row>
    <row r="60" spans="1:9" ht="15" customHeight="1" x14ac:dyDescent="0.25">
      <c r="A60" s="33"/>
      <c r="B60" s="4"/>
      <c r="C60" s="4"/>
      <c r="D60" s="14"/>
      <c r="E60" s="4"/>
      <c r="F60" s="172"/>
      <c r="G60" s="4"/>
      <c r="H60" s="4"/>
      <c r="I60" s="4"/>
    </row>
    <row r="61" spans="1:9" ht="15" customHeight="1" x14ac:dyDescent="0.35">
      <c r="A61" s="33"/>
      <c r="B61" s="4"/>
      <c r="C61" s="4"/>
      <c r="D61" s="177" t="s">
        <v>302</v>
      </c>
      <c r="E61" s="6" t="s">
        <v>4</v>
      </c>
      <c r="F61" s="173">
        <f>'Ввод данных'!E291</f>
        <v>0</v>
      </c>
      <c r="G61" s="4"/>
      <c r="H61" s="6" t="s">
        <v>116</v>
      </c>
      <c r="I61" s="4"/>
    </row>
    <row r="62" spans="1:9" ht="15" customHeight="1" x14ac:dyDescent="0.25">
      <c r="A62" s="33"/>
      <c r="B62" s="4"/>
      <c r="C62" s="4"/>
      <c r="D62" s="14"/>
      <c r="E62" s="14"/>
      <c r="F62" s="100"/>
      <c r="G62" s="4"/>
      <c r="H62" s="14"/>
      <c r="I62" s="4"/>
    </row>
    <row r="63" spans="1:9" ht="15" customHeight="1" x14ac:dyDescent="0.25">
      <c r="A63" s="33"/>
      <c r="B63" s="4"/>
      <c r="C63" s="4"/>
      <c r="D63" s="14" t="s">
        <v>297</v>
      </c>
      <c r="E63" s="14" t="s">
        <v>4</v>
      </c>
      <c r="F63" s="100">
        <f>F57+((F59+F61)*'Ввод данных'!E16/100)</f>
        <v>20550</v>
      </c>
      <c r="G63" s="4"/>
      <c r="H63" s="14" t="s">
        <v>116</v>
      </c>
      <c r="I63" s="4"/>
    </row>
    <row r="64" spans="1:9" ht="15" customHeight="1" x14ac:dyDescent="0.25">
      <c r="A64" s="33"/>
      <c r="B64" s="4"/>
      <c r="C64" s="4"/>
      <c r="D64" s="14"/>
      <c r="E64" s="14"/>
      <c r="F64" s="100"/>
      <c r="G64" s="4"/>
      <c r="H64" s="14"/>
      <c r="I64" s="4"/>
    </row>
    <row r="65" spans="1:9" ht="15" customHeight="1" x14ac:dyDescent="0.25">
      <c r="A65" s="33"/>
      <c r="B65" s="4"/>
      <c r="C65" s="14" t="s">
        <v>350</v>
      </c>
      <c r="D65" s="14"/>
      <c r="E65" s="14"/>
      <c r="F65" s="100"/>
      <c r="G65" s="4"/>
      <c r="H65" s="14"/>
      <c r="I65" s="4"/>
    </row>
    <row r="66" spans="1:9" ht="15" customHeight="1" x14ac:dyDescent="0.25">
      <c r="A66" s="33"/>
      <c r="B66" s="4"/>
      <c r="C66" s="14"/>
      <c r="D66" s="4" t="s">
        <v>300</v>
      </c>
      <c r="E66" s="4" t="s">
        <v>4</v>
      </c>
      <c r="F66" s="172">
        <f>'Ввод данных'!E94</f>
        <v>6000</v>
      </c>
      <c r="G66" s="4"/>
      <c r="H66" s="4" t="s">
        <v>116</v>
      </c>
      <c r="I66" s="4"/>
    </row>
    <row r="67" spans="1:9" ht="15" customHeight="1" x14ac:dyDescent="0.25">
      <c r="A67" s="33"/>
      <c r="B67" s="4"/>
      <c r="C67" s="4"/>
      <c r="D67" s="4"/>
      <c r="E67" s="4"/>
      <c r="F67" s="172"/>
      <c r="G67" s="4"/>
      <c r="H67" s="4"/>
      <c r="I67" s="4"/>
    </row>
    <row r="68" spans="1:9" ht="15" customHeight="1" x14ac:dyDescent="0.25">
      <c r="A68" s="33"/>
      <c r="B68" s="4"/>
      <c r="C68" s="4"/>
      <c r="D68" s="91" t="s">
        <v>301</v>
      </c>
      <c r="E68" s="4" t="s">
        <v>4</v>
      </c>
      <c r="F68" s="172">
        <f>'Ввод данных'!E233</f>
        <v>0</v>
      </c>
      <c r="G68" s="4"/>
      <c r="H68" s="4" t="s">
        <v>116</v>
      </c>
      <c r="I68" s="4"/>
    </row>
    <row r="69" spans="1:9" ht="15" customHeight="1" x14ac:dyDescent="0.25">
      <c r="A69" s="33"/>
      <c r="B69" s="4"/>
      <c r="C69" s="4"/>
      <c r="D69" s="4"/>
      <c r="E69" s="4"/>
      <c r="F69" s="172"/>
      <c r="G69" s="4"/>
      <c r="H69" s="4"/>
      <c r="I69" s="4"/>
    </row>
    <row r="70" spans="1:9" ht="15" customHeight="1" x14ac:dyDescent="0.35">
      <c r="A70" s="33"/>
      <c r="B70" s="4"/>
      <c r="C70" s="4"/>
      <c r="D70" s="177" t="s">
        <v>302</v>
      </c>
      <c r="E70" s="6" t="s">
        <v>4</v>
      </c>
      <c r="F70" s="173">
        <f>'Ввод данных'!E302</f>
        <v>0</v>
      </c>
      <c r="G70" s="4"/>
      <c r="H70" s="6" t="s">
        <v>116</v>
      </c>
      <c r="I70" s="4"/>
    </row>
    <row r="71" spans="1:9" ht="15" customHeight="1" x14ac:dyDescent="0.25">
      <c r="A71" s="33"/>
      <c r="B71" s="4"/>
      <c r="C71" s="4"/>
      <c r="D71" s="4"/>
      <c r="E71" s="14"/>
      <c r="F71" s="100"/>
      <c r="G71" s="4"/>
      <c r="H71" s="4"/>
      <c r="I71" s="4"/>
    </row>
    <row r="72" spans="1:9" ht="31.5" customHeight="1" x14ac:dyDescent="0.25">
      <c r="A72" s="33"/>
      <c r="B72" s="4"/>
      <c r="C72" s="4"/>
      <c r="D72" s="174" t="s">
        <v>298</v>
      </c>
      <c r="E72" s="14" t="s">
        <v>4</v>
      </c>
      <c r="F72" s="100">
        <f>F66+((F68+F70)*'Ввод данных'!E16/100)</f>
        <v>6000</v>
      </c>
      <c r="G72" s="4"/>
      <c r="H72" s="14" t="s">
        <v>116</v>
      </c>
      <c r="I72" s="4"/>
    </row>
    <row r="73" spans="1:9" ht="15" customHeight="1" x14ac:dyDescent="0.25">
      <c r="A73" s="33"/>
      <c r="B73" s="4"/>
      <c r="C73" s="4"/>
      <c r="D73" s="4"/>
      <c r="E73" s="4"/>
      <c r="F73" s="100"/>
      <c r="G73" s="4"/>
      <c r="H73" s="4"/>
      <c r="I73" s="4"/>
    </row>
    <row r="74" spans="1:9" ht="15" customHeight="1" x14ac:dyDescent="0.25">
      <c r="A74" s="33"/>
      <c r="B74" s="14" t="s">
        <v>130</v>
      </c>
      <c r="C74" s="14"/>
      <c r="D74" s="4"/>
      <c r="E74" s="4"/>
      <c r="F74" s="4"/>
      <c r="G74" s="4"/>
      <c r="H74" s="4"/>
      <c r="I74" s="4"/>
    </row>
    <row r="75" spans="1:9" ht="15" customHeight="1" x14ac:dyDescent="0.25">
      <c r="A75" s="33"/>
      <c r="C75" s="14" t="s">
        <v>240</v>
      </c>
      <c r="D75" s="4"/>
      <c r="E75" s="4"/>
      <c r="F75" s="4"/>
      <c r="G75" s="4"/>
      <c r="H75" s="4"/>
      <c r="I75" s="4"/>
    </row>
    <row r="76" spans="1:9" ht="15" customHeight="1" x14ac:dyDescent="0.25">
      <c r="A76" s="33"/>
      <c r="C76" s="14"/>
      <c r="D76" s="4" t="s">
        <v>300</v>
      </c>
      <c r="E76" s="4"/>
      <c r="F76" s="4"/>
      <c r="G76" s="4"/>
      <c r="H76" s="4"/>
      <c r="I76" s="4"/>
    </row>
    <row r="77" spans="1:9" ht="15" customHeight="1" x14ac:dyDescent="0.25">
      <c r="A77" s="33"/>
      <c r="B77" s="4"/>
      <c r="C77" s="4"/>
      <c r="D77" s="4"/>
      <c r="E77" s="4"/>
      <c r="F77" s="101">
        <f>'Ввод данных'!E306</f>
        <v>1</v>
      </c>
      <c r="G77" s="4"/>
      <c r="H77" s="4" t="s">
        <v>131</v>
      </c>
      <c r="I77" s="4"/>
    </row>
    <row r="78" spans="1:9" ht="15" customHeight="1" x14ac:dyDescent="0.25">
      <c r="A78" s="33"/>
      <c r="B78" s="4"/>
      <c r="C78" s="4"/>
      <c r="D78" s="4"/>
      <c r="E78" s="12" t="s">
        <v>2</v>
      </c>
      <c r="F78" s="106">
        <f>'Ввод данных'!E310</f>
        <v>4700</v>
      </c>
      <c r="G78" s="12"/>
      <c r="H78" s="12" t="s">
        <v>127</v>
      </c>
      <c r="I78" s="12"/>
    </row>
    <row r="79" spans="1:9" ht="15" customHeight="1" x14ac:dyDescent="0.25">
      <c r="A79" s="33"/>
      <c r="B79" s="4"/>
      <c r="C79" s="4"/>
      <c r="D79" s="4"/>
      <c r="E79" s="14" t="s">
        <v>4</v>
      </c>
      <c r="F79" s="172">
        <f>ROUND(F77*F78,2)</f>
        <v>4700</v>
      </c>
      <c r="G79" s="14"/>
      <c r="H79" s="140" t="s">
        <v>116</v>
      </c>
      <c r="I79" s="4"/>
    </row>
    <row r="80" spans="1:9" ht="15" customHeight="1" x14ac:dyDescent="0.25">
      <c r="A80" s="33"/>
      <c r="B80" s="4"/>
      <c r="C80" s="4"/>
      <c r="D80" s="4"/>
      <c r="E80" s="14"/>
      <c r="F80" s="100"/>
      <c r="G80" s="14"/>
      <c r="H80" s="14"/>
      <c r="I80" s="4"/>
    </row>
    <row r="81" spans="1:10" ht="15" customHeight="1" x14ac:dyDescent="0.25">
      <c r="A81" s="33"/>
      <c r="B81" s="4"/>
      <c r="C81" s="4"/>
      <c r="D81" s="91" t="s">
        <v>301</v>
      </c>
      <c r="E81" s="14"/>
      <c r="F81" s="100"/>
      <c r="G81" s="14"/>
      <c r="H81" s="14"/>
      <c r="I81" s="4"/>
    </row>
    <row r="82" spans="1:10" ht="15" customHeight="1" x14ac:dyDescent="0.25">
      <c r="A82" s="33"/>
      <c r="B82" s="4"/>
      <c r="C82" s="4"/>
      <c r="D82" s="4"/>
      <c r="F82" s="101">
        <f>'Ввод данных'!E308</f>
        <v>1</v>
      </c>
      <c r="G82" s="14"/>
      <c r="H82" s="4" t="s">
        <v>308</v>
      </c>
      <c r="I82" s="4"/>
    </row>
    <row r="83" spans="1:10" ht="15" customHeight="1" x14ac:dyDescent="0.25">
      <c r="A83" s="33"/>
      <c r="B83" s="4"/>
      <c r="C83" s="4"/>
      <c r="D83" s="4"/>
      <c r="E83" s="60" t="s">
        <v>2</v>
      </c>
      <c r="F83" s="172">
        <f>'Ввод данных'!E310</f>
        <v>4700</v>
      </c>
      <c r="G83" s="14"/>
      <c r="H83" s="60" t="s">
        <v>127</v>
      </c>
      <c r="I83" s="4"/>
    </row>
    <row r="84" spans="1:10" ht="15" customHeight="1" x14ac:dyDescent="0.35">
      <c r="A84" s="33"/>
      <c r="B84" s="4"/>
      <c r="C84" s="4"/>
      <c r="D84" s="4"/>
      <c r="E84" s="60" t="s">
        <v>2</v>
      </c>
      <c r="F84" s="173">
        <f>'Ввод данных'!E16</f>
        <v>62</v>
      </c>
      <c r="G84" s="14"/>
      <c r="H84" s="12" t="s">
        <v>133</v>
      </c>
      <c r="I84" s="4"/>
    </row>
    <row r="85" spans="1:10" ht="15" customHeight="1" thickBot="1" x14ac:dyDescent="0.3">
      <c r="A85" s="33"/>
      <c r="B85" s="4"/>
      <c r="C85" s="4"/>
      <c r="D85" s="4"/>
      <c r="E85" s="14" t="s">
        <v>4</v>
      </c>
      <c r="F85" s="172">
        <f>F82*F83*'Ввод данных'!E16/100</f>
        <v>2914</v>
      </c>
      <c r="G85" s="14"/>
      <c r="H85" s="140" t="s">
        <v>116</v>
      </c>
      <c r="I85" s="4"/>
    </row>
    <row r="86" spans="1:10" ht="15" customHeight="1" thickBot="1" x14ac:dyDescent="0.3">
      <c r="A86" s="33"/>
      <c r="B86" s="4"/>
      <c r="C86" s="4"/>
      <c r="D86" s="4"/>
      <c r="E86" s="14"/>
      <c r="F86" s="100"/>
      <c r="G86" s="14"/>
      <c r="H86" s="14"/>
      <c r="I86" s="4"/>
      <c r="J86" s="156"/>
    </row>
    <row r="87" spans="1:10" ht="15" customHeight="1" x14ac:dyDescent="0.25">
      <c r="A87" s="33"/>
      <c r="B87" s="4"/>
      <c r="C87" s="4"/>
      <c r="D87" s="4" t="s">
        <v>302</v>
      </c>
      <c r="E87" s="14"/>
      <c r="F87" s="100"/>
      <c r="G87" s="14"/>
      <c r="H87" s="14"/>
      <c r="I87" s="4"/>
    </row>
    <row r="88" spans="1:10" ht="15" customHeight="1" x14ac:dyDescent="0.25">
      <c r="A88" s="33"/>
      <c r="B88" s="4"/>
      <c r="C88" s="4"/>
      <c r="D88" s="4"/>
      <c r="F88" s="101">
        <f>'Ввод данных'!E309</f>
        <v>1</v>
      </c>
      <c r="G88" s="14"/>
      <c r="H88" s="4" t="s">
        <v>309</v>
      </c>
      <c r="I88" s="4"/>
    </row>
    <row r="89" spans="1:10" ht="15" customHeight="1" x14ac:dyDescent="0.25">
      <c r="A89" s="33"/>
      <c r="B89" s="4"/>
      <c r="C89" s="4"/>
      <c r="D89" s="4"/>
      <c r="E89" s="60" t="s">
        <v>2</v>
      </c>
      <c r="F89" s="102">
        <f>'Ввод данных'!E310</f>
        <v>4700</v>
      </c>
      <c r="G89" s="4"/>
      <c r="H89" s="60" t="s">
        <v>127</v>
      </c>
      <c r="I89" s="4"/>
    </row>
    <row r="90" spans="1:10" ht="15" customHeight="1" x14ac:dyDescent="0.35">
      <c r="A90" s="33"/>
      <c r="B90" s="4"/>
      <c r="C90" s="4"/>
      <c r="D90" s="4"/>
      <c r="E90" s="60" t="s">
        <v>2</v>
      </c>
      <c r="F90" s="173">
        <f>F84</f>
        <v>62</v>
      </c>
      <c r="G90" s="4"/>
      <c r="H90" s="12" t="s">
        <v>133</v>
      </c>
      <c r="I90" s="4"/>
    </row>
    <row r="91" spans="1:10" ht="15" customHeight="1" x14ac:dyDescent="0.25">
      <c r="A91" s="33"/>
      <c r="B91" s="4"/>
      <c r="C91" s="4"/>
      <c r="D91" s="4"/>
      <c r="E91" s="14" t="s">
        <v>4</v>
      </c>
      <c r="F91" s="172">
        <f>F88*F89*'Ввод данных'!E16/100</f>
        <v>2914</v>
      </c>
      <c r="G91" s="4"/>
      <c r="H91" s="140" t="s">
        <v>116</v>
      </c>
      <c r="I91" s="4"/>
    </row>
    <row r="92" spans="1:10" ht="15" customHeight="1" x14ac:dyDescent="0.25">
      <c r="A92" s="33"/>
      <c r="B92" s="4"/>
      <c r="C92" s="4"/>
      <c r="D92" s="4"/>
      <c r="E92" s="14"/>
      <c r="F92" s="172"/>
      <c r="G92" s="4"/>
      <c r="H92" s="140"/>
      <c r="I92" s="4"/>
    </row>
    <row r="93" spans="1:10" ht="15" customHeight="1" x14ac:dyDescent="0.25">
      <c r="A93" s="33"/>
      <c r="B93" s="4"/>
      <c r="C93" s="4"/>
      <c r="D93" s="82" t="s">
        <v>310</v>
      </c>
      <c r="E93" s="14" t="s">
        <v>4</v>
      </c>
      <c r="F93" s="172">
        <f>F79+F85+F91</f>
        <v>10528</v>
      </c>
      <c r="G93" s="4"/>
      <c r="H93" s="14" t="s">
        <v>116</v>
      </c>
      <c r="I93" s="4"/>
    </row>
    <row r="94" spans="1:10" ht="15" customHeight="1" x14ac:dyDescent="0.25">
      <c r="A94" s="33"/>
      <c r="B94" s="4"/>
      <c r="C94" s="4"/>
      <c r="D94" s="4"/>
      <c r="E94" s="14"/>
      <c r="F94" s="172"/>
      <c r="G94" s="4"/>
      <c r="H94" s="4"/>
      <c r="I94" s="4"/>
    </row>
    <row r="95" spans="1:10" ht="15" customHeight="1" x14ac:dyDescent="0.25">
      <c r="A95" s="33"/>
      <c r="C95" s="14" t="s">
        <v>132</v>
      </c>
      <c r="D95" s="4"/>
      <c r="E95" s="4"/>
      <c r="F95" s="4"/>
      <c r="G95" s="4"/>
      <c r="H95" s="4"/>
      <c r="I95" s="4"/>
    </row>
    <row r="96" spans="1:10" ht="15" customHeight="1" x14ac:dyDescent="0.25">
      <c r="A96" s="33"/>
      <c r="C96" s="88" t="s">
        <v>200</v>
      </c>
      <c r="D96" s="4"/>
      <c r="E96" s="4"/>
      <c r="F96" s="4"/>
      <c r="G96" s="4"/>
      <c r="H96" s="4"/>
      <c r="I96" s="4"/>
    </row>
    <row r="97" spans="1:11" ht="15" customHeight="1" x14ac:dyDescent="0.25">
      <c r="A97" s="33"/>
      <c r="B97" s="4"/>
      <c r="C97" s="4"/>
      <c r="D97" s="4"/>
      <c r="E97" s="4"/>
      <c r="F97" s="102">
        <f>'Ввод данных'!E315</f>
        <v>100</v>
      </c>
      <c r="G97" s="4"/>
      <c r="H97" s="4" t="str">
        <f>"тг на теленка ("&amp;'Ввод данных'!A315&amp;")"</f>
        <v>тг на теленка (Эмфизематозный карбункул (вакцина))</v>
      </c>
      <c r="I97" s="4"/>
    </row>
    <row r="98" spans="1:11" ht="15" customHeight="1" x14ac:dyDescent="0.25">
      <c r="A98" s="33"/>
      <c r="B98" s="4"/>
      <c r="C98" s="4"/>
      <c r="D98" s="4"/>
      <c r="E98" s="4" t="s">
        <v>5</v>
      </c>
      <c r="F98" s="102">
        <f>'Ввод данных'!E316</f>
        <v>500</v>
      </c>
      <c r="G98" s="4"/>
      <c r="H98" s="4" t="str">
        <f>"тг на теленка ("&amp;'Ввод данных'!A316&amp;")"</f>
        <v>тг на теленка (Бирки)</v>
      </c>
      <c r="I98" s="4"/>
    </row>
    <row r="99" spans="1:11" ht="15" customHeight="1" x14ac:dyDescent="0.25">
      <c r="A99" s="33"/>
      <c r="B99" s="4"/>
      <c r="C99" s="4"/>
      <c r="D99" s="4"/>
      <c r="E99" s="4" t="s">
        <v>5</v>
      </c>
      <c r="F99" s="102">
        <f>'Ввод данных'!E317</f>
        <v>0</v>
      </c>
      <c r="G99" s="4"/>
      <c r="H99" s="4" t="str">
        <f>"тг на теленка ("&amp;'Ввод данных'!A317&amp;")"</f>
        <v>тг на теленка (укажите)</v>
      </c>
      <c r="I99" s="4"/>
    </row>
    <row r="100" spans="1:11" ht="15" customHeight="1" x14ac:dyDescent="0.25">
      <c r="A100" s="33"/>
      <c r="B100" s="4"/>
      <c r="C100" s="4"/>
      <c r="D100" s="4"/>
      <c r="E100" s="4" t="s">
        <v>5</v>
      </c>
      <c r="F100" s="102">
        <f>'Ввод данных'!E318</f>
        <v>0</v>
      </c>
      <c r="G100" s="4"/>
      <c r="H100" s="4" t="str">
        <f>"тг на теленка ("&amp;'Ввод данных'!A318&amp;")"</f>
        <v>тг на теленка (укажите)</v>
      </c>
      <c r="I100" s="4"/>
    </row>
    <row r="101" spans="1:11" ht="15" customHeight="1" x14ac:dyDescent="0.25">
      <c r="A101" s="33"/>
      <c r="B101" s="4"/>
      <c r="C101" s="4"/>
      <c r="D101" s="4"/>
      <c r="E101" s="4" t="s">
        <v>5</v>
      </c>
      <c r="F101" s="102">
        <f>'Ввод данных'!E319</f>
        <v>0</v>
      </c>
      <c r="G101" s="4"/>
      <c r="H101" s="4" t="str">
        <f>"тг на теленка ("&amp;'Ввод данных'!A319&amp;")"</f>
        <v>тг на теленка (укажите)</v>
      </c>
      <c r="I101" s="4"/>
    </row>
    <row r="102" spans="1:11" ht="15" customHeight="1" x14ac:dyDescent="0.25">
      <c r="A102" s="33"/>
      <c r="B102" s="4"/>
      <c r="C102" s="4"/>
      <c r="D102" s="4"/>
      <c r="E102" s="12" t="s">
        <v>2</v>
      </c>
      <c r="F102" s="106">
        <f>'Ввод данных'!E16</f>
        <v>62</v>
      </c>
      <c r="G102" s="60"/>
      <c r="H102" s="12" t="s">
        <v>133</v>
      </c>
      <c r="I102" s="4"/>
    </row>
    <row r="103" spans="1:11" ht="15" customHeight="1" x14ac:dyDescent="0.25">
      <c r="A103" s="33"/>
      <c r="B103" s="4"/>
      <c r="C103" s="4"/>
      <c r="D103" s="4"/>
      <c r="E103" s="4" t="s">
        <v>4</v>
      </c>
      <c r="F103" s="102">
        <f>(F97+F98+F99+F100+F101)*F102/100</f>
        <v>372</v>
      </c>
      <c r="G103" s="4"/>
      <c r="H103" s="4" t="s">
        <v>116</v>
      </c>
      <c r="I103" s="4"/>
      <c r="K103" s="87"/>
    </row>
    <row r="104" spans="1:11" ht="15" customHeight="1" x14ac:dyDescent="0.25">
      <c r="A104" s="33"/>
      <c r="B104" s="4"/>
      <c r="C104" s="4"/>
      <c r="D104" s="4"/>
      <c r="E104" s="4"/>
      <c r="F104" s="4"/>
      <c r="G104" s="4"/>
      <c r="H104" s="4" t="s">
        <v>0</v>
      </c>
      <c r="I104" s="4"/>
    </row>
    <row r="105" spans="1:11" ht="15" customHeight="1" x14ac:dyDescent="0.25">
      <c r="A105" s="33"/>
      <c r="C105" s="88" t="s">
        <v>201</v>
      </c>
      <c r="D105" s="4"/>
      <c r="E105" s="4"/>
      <c r="F105" s="4"/>
      <c r="G105" s="4"/>
      <c r="H105" s="4"/>
      <c r="I105" s="4"/>
    </row>
    <row r="106" spans="1:11" ht="15" customHeight="1" x14ac:dyDescent="0.25">
      <c r="A106" s="33"/>
      <c r="B106" s="4"/>
      <c r="C106" s="4"/>
      <c r="D106" s="4"/>
      <c r="E106" s="4"/>
      <c r="F106" s="102">
        <f>'Ввод данных'!E322</f>
        <v>600</v>
      </c>
      <c r="G106" s="4"/>
      <c r="H106" s="4" t="str">
        <f>"тг на корову ("&amp;'Ввод данных'!A322&amp;")"</f>
        <v>тг на корову (Инфекционный ринотрахеит)</v>
      </c>
      <c r="I106" s="4"/>
    </row>
    <row r="107" spans="1:11" ht="15" customHeight="1" x14ac:dyDescent="0.25">
      <c r="A107" s="33"/>
      <c r="B107" s="4"/>
      <c r="C107" s="4"/>
      <c r="D107" s="4"/>
      <c r="E107" s="4" t="s">
        <v>5</v>
      </c>
      <c r="F107" s="102">
        <f>'Ввод данных'!E323</f>
        <v>700</v>
      </c>
      <c r="G107" s="4"/>
      <c r="H107" s="4" t="str">
        <f>"тг на корову ("&amp;'Ввод данных'!A323&amp;")"</f>
        <v>тг на корову (Scourguard)</v>
      </c>
      <c r="I107" s="4"/>
    </row>
    <row r="108" spans="1:11" ht="15" customHeight="1" x14ac:dyDescent="0.25">
      <c r="A108" s="33"/>
      <c r="B108" s="4"/>
      <c r="C108" s="4"/>
      <c r="D108" s="4"/>
      <c r="E108" s="4" t="s">
        <v>5</v>
      </c>
      <c r="F108" s="102">
        <f>'Ввод данных'!E324</f>
        <v>300</v>
      </c>
      <c r="G108" s="4"/>
      <c r="H108" s="4" t="str">
        <f>"тг на корову ("&amp;'Ввод данных'!A324&amp;")"</f>
        <v>тг на корову (Внутренний и внешний контроль паразитов, антибиотики и т.д.)</v>
      </c>
      <c r="I108" s="4"/>
    </row>
    <row r="109" spans="1:11" ht="15" customHeight="1" x14ac:dyDescent="0.25">
      <c r="A109" s="33"/>
      <c r="B109" s="4"/>
      <c r="C109" s="4"/>
      <c r="D109" s="4"/>
      <c r="E109" s="60" t="s">
        <v>5</v>
      </c>
      <c r="F109" s="102">
        <f>'Ввод данных'!E326</f>
        <v>100</v>
      </c>
      <c r="G109" s="12"/>
      <c r="H109" s="4" t="str">
        <f>"тг на корову ("&amp;'Ввод данных'!A326&amp;")"</f>
        <v>тг на корову (Витамины А и D)</v>
      </c>
      <c r="I109" s="4"/>
    </row>
    <row r="110" spans="1:11" ht="15" customHeight="1" x14ac:dyDescent="0.25">
      <c r="A110" s="33"/>
      <c r="B110" s="4"/>
      <c r="C110" s="4"/>
      <c r="D110" s="4"/>
      <c r="E110" s="12" t="s">
        <v>5</v>
      </c>
      <c r="F110" s="102">
        <f>'Ввод данных'!E327</f>
        <v>0</v>
      </c>
      <c r="G110" s="12"/>
      <c r="H110" s="4" t="str">
        <f>"тг на корову ("&amp;'Ввод данных'!A327&amp;")"</f>
        <v>тг на корову (укажите)</v>
      </c>
      <c r="I110" s="4"/>
    </row>
    <row r="111" spans="1:11" ht="15" customHeight="1" x14ac:dyDescent="0.35">
      <c r="A111" s="33"/>
      <c r="B111" s="4"/>
      <c r="C111" s="4"/>
      <c r="D111" s="4"/>
      <c r="E111" s="12" t="s">
        <v>5</v>
      </c>
      <c r="F111" s="130">
        <f>'Ввод данных'!E328</f>
        <v>0</v>
      </c>
      <c r="G111" s="12"/>
      <c r="H111" s="4" t="str">
        <f>"тг на корову ("&amp;'Ввод данных'!A328&amp;")"</f>
        <v>тг на корову (укажите)</v>
      </c>
      <c r="I111" s="4"/>
    </row>
    <row r="112" spans="1:11" ht="15" customHeight="1" x14ac:dyDescent="0.25">
      <c r="A112" s="33"/>
      <c r="B112" s="4"/>
      <c r="C112" s="4"/>
      <c r="D112" s="4"/>
      <c r="E112" s="4" t="s">
        <v>4</v>
      </c>
      <c r="F112" s="102">
        <f>ROUND(SUM(F106+F107+F108+F109),2)</f>
        <v>1700</v>
      </c>
      <c r="G112" s="4"/>
      <c r="H112" s="4" t="s">
        <v>116</v>
      </c>
      <c r="I112" s="4"/>
    </row>
    <row r="113" spans="1:9" ht="15" customHeight="1" x14ac:dyDescent="0.25">
      <c r="A113" s="33"/>
      <c r="B113" s="4"/>
      <c r="C113" s="4"/>
      <c r="D113" s="4"/>
      <c r="E113" s="4"/>
      <c r="F113" s="4"/>
      <c r="G113" s="4"/>
      <c r="H113" s="4"/>
      <c r="I113" s="4"/>
    </row>
    <row r="114" spans="1:9" ht="15" customHeight="1" x14ac:dyDescent="0.25">
      <c r="A114" s="33"/>
      <c r="C114" s="4" t="s">
        <v>134</v>
      </c>
      <c r="D114" s="4"/>
      <c r="E114" s="4"/>
      <c r="F114" s="4"/>
      <c r="G114" s="4"/>
      <c r="H114" s="4"/>
      <c r="I114" s="4"/>
    </row>
    <row r="115" spans="1:9" ht="15" customHeight="1" x14ac:dyDescent="0.25">
      <c r="A115" s="33"/>
      <c r="B115" s="4"/>
      <c r="C115" s="4"/>
      <c r="D115" s="4"/>
      <c r="E115" s="4"/>
      <c r="F115" s="102">
        <f>'Ввод данных'!E332</f>
        <v>120</v>
      </c>
      <c r="G115" s="4"/>
      <c r="H115" s="4" t="s">
        <v>135</v>
      </c>
      <c r="I115" s="4"/>
    </row>
    <row r="116" spans="1:9" ht="15" customHeight="1" x14ac:dyDescent="0.25">
      <c r="A116" s="33"/>
      <c r="B116" s="4"/>
      <c r="C116" s="4"/>
      <c r="D116" s="4"/>
      <c r="E116" s="4" t="s">
        <v>2</v>
      </c>
      <c r="F116" s="102">
        <f>'Ввод данных'!E331</f>
        <v>80</v>
      </c>
      <c r="G116" s="4"/>
      <c r="H116" s="4" t="s">
        <v>84</v>
      </c>
      <c r="I116" s="4"/>
    </row>
    <row r="117" spans="1:9" ht="15" customHeight="1" x14ac:dyDescent="0.25">
      <c r="A117" s="33"/>
      <c r="B117" s="4"/>
      <c r="C117" s="4"/>
      <c r="D117" s="4"/>
      <c r="E117" s="4" t="s">
        <v>2</v>
      </c>
      <c r="F117" s="102">
        <f>'Ввод данных'!E333</f>
        <v>2</v>
      </c>
      <c r="G117" s="4"/>
      <c r="H117" s="4" t="s">
        <v>136</v>
      </c>
      <c r="I117" s="4"/>
    </row>
    <row r="118" spans="1:9" ht="15" customHeight="1" x14ac:dyDescent="0.25">
      <c r="A118" s="33"/>
      <c r="B118" s="4"/>
      <c r="C118" s="4"/>
      <c r="D118" s="4"/>
      <c r="E118" s="12" t="s">
        <v>3</v>
      </c>
      <c r="F118" s="106">
        <f>'Ввод данных'!E14</f>
        <v>500</v>
      </c>
      <c r="G118" s="19"/>
      <c r="H118" s="12" t="s">
        <v>141</v>
      </c>
      <c r="I118" s="4"/>
    </row>
    <row r="119" spans="1:9" ht="15" customHeight="1" x14ac:dyDescent="0.25">
      <c r="A119" s="33"/>
      <c r="B119" s="4"/>
      <c r="C119" s="4"/>
      <c r="D119" s="4"/>
      <c r="E119" s="4" t="s">
        <v>4</v>
      </c>
      <c r="F119" s="102">
        <f>ROUND(F115*F116*F117/F118,2)</f>
        <v>38.4</v>
      </c>
      <c r="G119" s="4"/>
      <c r="H119" s="4" t="s">
        <v>137</v>
      </c>
      <c r="I119" s="4"/>
    </row>
    <row r="120" spans="1:9" ht="15" customHeight="1" x14ac:dyDescent="0.25">
      <c r="A120" s="33"/>
      <c r="B120" s="4"/>
      <c r="C120" s="4"/>
      <c r="D120" s="4"/>
      <c r="E120" s="4"/>
      <c r="F120" s="4"/>
      <c r="G120" s="4"/>
      <c r="H120" s="4"/>
      <c r="I120" s="4"/>
    </row>
    <row r="121" spans="1:9" ht="15" customHeight="1" x14ac:dyDescent="0.25">
      <c r="A121" s="33"/>
      <c r="B121" s="4"/>
      <c r="C121" s="4"/>
      <c r="D121" s="14" t="s">
        <v>14</v>
      </c>
      <c r="E121" s="14" t="s">
        <v>4</v>
      </c>
      <c r="F121" s="100">
        <f>ROUND(F103+F112+F119,2)</f>
        <v>2110.4</v>
      </c>
      <c r="G121" s="14"/>
      <c r="H121" s="14" t="s">
        <v>116</v>
      </c>
      <c r="I121" s="14"/>
    </row>
    <row r="122" spans="1:9" ht="15" customHeight="1" x14ac:dyDescent="0.25">
      <c r="A122" s="33"/>
      <c r="B122" s="4"/>
      <c r="C122" s="4"/>
      <c r="D122" s="4"/>
      <c r="E122" s="4"/>
      <c r="F122" s="4"/>
      <c r="G122" s="4"/>
      <c r="H122" s="4"/>
      <c r="I122" s="4"/>
    </row>
    <row r="123" spans="1:9" ht="15" customHeight="1" x14ac:dyDescent="0.25">
      <c r="A123" s="33"/>
      <c r="C123" s="14" t="s">
        <v>138</v>
      </c>
      <c r="D123" s="4"/>
      <c r="E123" s="4"/>
      <c r="F123" s="4"/>
      <c r="G123" s="4"/>
      <c r="H123" s="4"/>
      <c r="I123" s="4"/>
    </row>
    <row r="124" spans="1:9" ht="15" customHeight="1" x14ac:dyDescent="0.25">
      <c r="A124" s="33"/>
      <c r="C124" s="4" t="s">
        <v>139</v>
      </c>
      <c r="D124" s="4"/>
      <c r="E124" s="4"/>
      <c r="F124" s="4"/>
      <c r="G124" s="4"/>
      <c r="H124" s="4"/>
      <c r="I124" s="4"/>
    </row>
    <row r="125" spans="1:9" ht="15" customHeight="1" x14ac:dyDescent="0.25">
      <c r="A125" s="33"/>
      <c r="B125" s="4"/>
      <c r="C125" s="4"/>
      <c r="D125" s="8" t="s">
        <v>323</v>
      </c>
      <c r="E125" s="4"/>
      <c r="F125" s="102">
        <f>'Ввод данных'!E109</f>
        <v>16000</v>
      </c>
      <c r="G125" s="4"/>
      <c r="H125" s="4" t="s">
        <v>351</v>
      </c>
      <c r="I125" s="4"/>
    </row>
    <row r="126" spans="1:9" ht="15" customHeight="1" x14ac:dyDescent="0.25">
      <c r="A126" s="33"/>
      <c r="B126" s="4"/>
      <c r="C126" s="4"/>
      <c r="D126" s="4"/>
      <c r="E126" s="4" t="s">
        <v>2</v>
      </c>
      <c r="F126" s="102">
        <f>'Ввод данных'!E15</f>
        <v>20</v>
      </c>
      <c r="G126" s="4"/>
      <c r="H126" s="4" t="s">
        <v>123</v>
      </c>
      <c r="I126" s="4"/>
    </row>
    <row r="127" spans="1:9" ht="15" customHeight="1" x14ac:dyDescent="0.25">
      <c r="A127" s="33"/>
      <c r="B127" s="4"/>
      <c r="C127" s="4"/>
      <c r="D127" s="4"/>
      <c r="E127" s="12" t="s">
        <v>3</v>
      </c>
      <c r="F127" s="106">
        <f>'Ввод данных'!E14</f>
        <v>500</v>
      </c>
      <c r="G127" s="12"/>
      <c r="H127" s="12" t="s">
        <v>141</v>
      </c>
      <c r="I127" s="12"/>
    </row>
    <row r="128" spans="1:9" ht="15" customHeight="1" x14ac:dyDescent="0.25">
      <c r="A128" s="33"/>
      <c r="B128" s="4"/>
      <c r="C128" s="4"/>
      <c r="D128" s="4"/>
      <c r="E128" s="4" t="s">
        <v>4</v>
      </c>
      <c r="F128" s="102">
        <f>F125*F126/F127</f>
        <v>640</v>
      </c>
      <c r="G128" s="4"/>
      <c r="H128" s="4" t="s">
        <v>116</v>
      </c>
      <c r="I128" s="4"/>
    </row>
    <row r="129" spans="1:9" ht="15" customHeight="1" x14ac:dyDescent="0.25">
      <c r="A129" s="33"/>
      <c r="B129" s="4"/>
      <c r="C129" s="4"/>
      <c r="D129" s="4"/>
      <c r="E129" s="4"/>
      <c r="F129" s="105"/>
      <c r="G129" s="4"/>
      <c r="H129" s="4"/>
      <c r="I129" s="4"/>
    </row>
    <row r="130" spans="1:9" ht="15" customHeight="1" x14ac:dyDescent="0.25">
      <c r="A130" s="33"/>
      <c r="B130" s="4"/>
      <c r="C130" s="4"/>
      <c r="D130" s="4" t="s">
        <v>140</v>
      </c>
      <c r="E130" s="4"/>
      <c r="F130" s="101"/>
      <c r="G130" s="4"/>
      <c r="H130" s="4"/>
      <c r="I130" s="4"/>
    </row>
    <row r="131" spans="1:9" ht="15" customHeight="1" x14ac:dyDescent="0.25">
      <c r="A131" s="33"/>
      <c r="B131" s="4"/>
      <c r="C131" s="4"/>
      <c r="D131" s="4"/>
      <c r="E131" s="4"/>
      <c r="F131" s="102">
        <f>'Ввод данных'!E120</f>
        <v>33000</v>
      </c>
      <c r="G131" s="4"/>
      <c r="H131" s="4" t="s">
        <v>351</v>
      </c>
      <c r="I131" s="4"/>
    </row>
    <row r="132" spans="1:9" ht="15" customHeight="1" x14ac:dyDescent="0.25">
      <c r="A132" s="33"/>
      <c r="B132" s="4"/>
      <c r="C132" s="4"/>
      <c r="D132" s="4"/>
      <c r="E132" s="4" t="s">
        <v>2</v>
      </c>
      <c r="F132" s="102">
        <f>'Ввод данных'!E15</f>
        <v>20</v>
      </c>
      <c r="G132" s="4"/>
      <c r="H132" s="4" t="s">
        <v>123</v>
      </c>
      <c r="I132" s="4"/>
    </row>
    <row r="133" spans="1:9" ht="15" customHeight="1" x14ac:dyDescent="0.25">
      <c r="A133" s="33"/>
      <c r="B133" s="4"/>
      <c r="C133" s="4"/>
      <c r="D133" s="4"/>
      <c r="E133" s="12" t="s">
        <v>3</v>
      </c>
      <c r="F133" s="106">
        <f>'Ввод данных'!E14</f>
        <v>500</v>
      </c>
      <c r="G133" s="12"/>
      <c r="H133" s="12" t="s">
        <v>141</v>
      </c>
      <c r="I133" s="4"/>
    </row>
    <row r="134" spans="1:9" ht="15" customHeight="1" x14ac:dyDescent="0.25">
      <c r="A134" s="33"/>
      <c r="B134" s="4"/>
      <c r="C134" s="4"/>
      <c r="D134" s="4"/>
      <c r="E134" s="4" t="s">
        <v>4</v>
      </c>
      <c r="F134" s="102">
        <f>F131*F132/F133</f>
        <v>1320</v>
      </c>
      <c r="G134" s="4"/>
      <c r="H134" s="4" t="s">
        <v>116</v>
      </c>
      <c r="I134" s="4"/>
    </row>
    <row r="135" spans="1:9" ht="15" customHeight="1" x14ac:dyDescent="0.25">
      <c r="A135" s="33"/>
      <c r="B135" s="4"/>
      <c r="C135" s="4"/>
      <c r="D135" s="4"/>
      <c r="E135" s="4"/>
      <c r="F135" s="102"/>
      <c r="G135" s="4"/>
      <c r="H135" s="4"/>
      <c r="I135" s="4"/>
    </row>
    <row r="136" spans="1:9" ht="15" customHeight="1" x14ac:dyDescent="0.25">
      <c r="A136" s="33"/>
      <c r="B136" s="4"/>
      <c r="C136" s="4"/>
      <c r="D136" s="4" t="s">
        <v>258</v>
      </c>
      <c r="E136" s="4"/>
      <c r="F136" s="102"/>
      <c r="G136" s="4"/>
      <c r="H136" s="4"/>
      <c r="I136" s="4"/>
    </row>
    <row r="137" spans="1:9" ht="15" customHeight="1" x14ac:dyDescent="0.25">
      <c r="A137" s="33"/>
      <c r="B137" s="4"/>
      <c r="C137" s="4"/>
      <c r="D137" s="4"/>
      <c r="E137" s="4"/>
      <c r="F137" s="102">
        <f>'Ввод данных'!E142</f>
        <v>15600</v>
      </c>
      <c r="G137" s="4"/>
      <c r="H137" s="4" t="s">
        <v>351</v>
      </c>
      <c r="I137" s="4"/>
    </row>
    <row r="138" spans="1:9" ht="15" customHeight="1" x14ac:dyDescent="0.25">
      <c r="A138" s="33"/>
      <c r="B138" s="4"/>
      <c r="C138" s="4"/>
      <c r="D138" s="4"/>
      <c r="E138" s="4" t="s">
        <v>2</v>
      </c>
      <c r="F138" s="102">
        <f>'Ввод данных'!E15</f>
        <v>20</v>
      </c>
      <c r="G138" s="4"/>
      <c r="H138" s="4" t="s">
        <v>123</v>
      </c>
      <c r="I138" s="4"/>
    </row>
    <row r="139" spans="1:9" ht="15" customHeight="1" x14ac:dyDescent="0.35">
      <c r="A139" s="33"/>
      <c r="B139" s="4"/>
      <c r="C139" s="4"/>
      <c r="D139" s="4"/>
      <c r="E139" s="12" t="s">
        <v>3</v>
      </c>
      <c r="F139" s="130">
        <f>F127</f>
        <v>500</v>
      </c>
      <c r="G139" s="4"/>
      <c r="H139" s="12" t="s">
        <v>141</v>
      </c>
      <c r="I139" s="4"/>
    </row>
    <row r="140" spans="1:9" ht="15" customHeight="1" x14ac:dyDescent="0.25">
      <c r="A140" s="33"/>
      <c r="B140" s="4"/>
      <c r="C140" s="4"/>
      <c r="D140" s="4"/>
      <c r="E140" s="4" t="s">
        <v>4</v>
      </c>
      <c r="F140" s="102">
        <f>F137*F138/F139</f>
        <v>624</v>
      </c>
      <c r="G140" s="4"/>
      <c r="H140" s="4" t="s">
        <v>116</v>
      </c>
      <c r="I140" s="4"/>
    </row>
    <row r="141" spans="1:9" ht="15" customHeight="1" x14ac:dyDescent="0.25">
      <c r="A141" s="33"/>
      <c r="B141" s="4"/>
      <c r="C141" s="4"/>
      <c r="D141" s="4"/>
      <c r="E141" s="4"/>
      <c r="F141" s="102"/>
      <c r="G141" s="4"/>
      <c r="H141" s="4"/>
      <c r="I141" s="4"/>
    </row>
    <row r="142" spans="1:9" ht="15" customHeight="1" x14ac:dyDescent="0.25">
      <c r="A142" s="33"/>
      <c r="B142" s="4"/>
      <c r="C142" s="4"/>
      <c r="D142" s="4" t="s">
        <v>322</v>
      </c>
      <c r="E142" s="4"/>
      <c r="F142" s="102"/>
      <c r="G142" s="4"/>
      <c r="H142" s="4"/>
      <c r="I142" s="4"/>
    </row>
    <row r="143" spans="1:9" ht="15" customHeight="1" x14ac:dyDescent="0.25">
      <c r="A143" s="33"/>
      <c r="B143" s="4"/>
      <c r="C143" s="4"/>
      <c r="D143" s="4"/>
      <c r="E143" s="4"/>
      <c r="F143" s="102">
        <f>'Ввод данных'!E153</f>
        <v>29589.04109589041</v>
      </c>
      <c r="G143" s="4"/>
      <c r="H143" s="4" t="s">
        <v>351</v>
      </c>
      <c r="I143" s="4"/>
    </row>
    <row r="144" spans="1:9" ht="15" customHeight="1" x14ac:dyDescent="0.25">
      <c r="A144" s="33"/>
      <c r="B144" s="4"/>
      <c r="C144" s="4"/>
      <c r="D144" s="4"/>
      <c r="E144" s="4" t="s">
        <v>2</v>
      </c>
      <c r="F144" s="102">
        <f>'Ввод данных'!E15</f>
        <v>20</v>
      </c>
      <c r="G144" s="4"/>
      <c r="H144" s="4" t="s">
        <v>123</v>
      </c>
      <c r="I144" s="4"/>
    </row>
    <row r="145" spans="1:9" ht="15" customHeight="1" x14ac:dyDescent="0.35">
      <c r="A145" s="33"/>
      <c r="B145" s="4"/>
      <c r="C145" s="4"/>
      <c r="D145" s="4"/>
      <c r="E145" s="12" t="s">
        <v>3</v>
      </c>
      <c r="F145" s="130">
        <f>F139</f>
        <v>500</v>
      </c>
      <c r="G145" s="4"/>
      <c r="H145" s="12" t="s">
        <v>141</v>
      </c>
      <c r="I145" s="4"/>
    </row>
    <row r="146" spans="1:9" ht="15" customHeight="1" x14ac:dyDescent="0.25">
      <c r="A146" s="33"/>
      <c r="B146" s="4"/>
      <c r="C146" s="4"/>
      <c r="D146" s="4"/>
      <c r="E146" s="4" t="s">
        <v>4</v>
      </c>
      <c r="F146" s="102">
        <f>F143*F144/F145</f>
        <v>1183.5616438356162</v>
      </c>
      <c r="G146" s="4"/>
      <c r="H146" s="4" t="s">
        <v>116</v>
      </c>
      <c r="I146" s="4"/>
    </row>
    <row r="147" spans="1:9" ht="15" customHeight="1" x14ac:dyDescent="0.25">
      <c r="A147" s="33"/>
      <c r="B147" s="4"/>
      <c r="C147" s="4"/>
      <c r="D147" s="4"/>
      <c r="E147" s="4"/>
      <c r="F147" s="102"/>
      <c r="G147" s="4"/>
      <c r="H147" s="4"/>
      <c r="I147" s="4"/>
    </row>
    <row r="148" spans="1:9" ht="15" customHeight="1" x14ac:dyDescent="0.25">
      <c r="A148" s="33"/>
      <c r="B148" s="4"/>
      <c r="C148" s="4"/>
      <c r="D148" s="4" t="s">
        <v>293</v>
      </c>
      <c r="E148" s="4"/>
      <c r="F148" s="102"/>
      <c r="G148" s="4"/>
      <c r="H148" s="4"/>
      <c r="I148" s="4"/>
    </row>
    <row r="149" spans="1:9" ht="15" customHeight="1" x14ac:dyDescent="0.25">
      <c r="A149" s="33"/>
      <c r="B149" s="4"/>
      <c r="C149" s="4"/>
      <c r="D149" s="4"/>
      <c r="E149" s="4"/>
      <c r="F149" s="102">
        <f>'Ввод данных'!E164</f>
        <v>8800</v>
      </c>
      <c r="G149" s="4"/>
      <c r="H149" s="4" t="s">
        <v>351</v>
      </c>
      <c r="I149" s="4"/>
    </row>
    <row r="150" spans="1:9" ht="15" customHeight="1" x14ac:dyDescent="0.25">
      <c r="A150" s="33"/>
      <c r="B150" s="4"/>
      <c r="C150" s="4"/>
      <c r="D150" s="4"/>
      <c r="E150" s="4" t="s">
        <v>2</v>
      </c>
      <c r="F150" s="102">
        <f>'Ввод данных'!E15</f>
        <v>20</v>
      </c>
      <c r="G150" s="4"/>
      <c r="H150" s="4" t="s">
        <v>123</v>
      </c>
      <c r="I150" s="4"/>
    </row>
    <row r="151" spans="1:9" ht="15" customHeight="1" x14ac:dyDescent="0.35">
      <c r="A151" s="33"/>
      <c r="B151" s="4"/>
      <c r="C151" s="4"/>
      <c r="D151" s="4"/>
      <c r="E151" s="12" t="s">
        <v>3</v>
      </c>
      <c r="F151" s="130">
        <f>F145</f>
        <v>500</v>
      </c>
      <c r="G151" s="4"/>
      <c r="H151" s="12" t="s">
        <v>141</v>
      </c>
      <c r="I151" s="4"/>
    </row>
    <row r="152" spans="1:9" ht="15" customHeight="1" x14ac:dyDescent="0.25">
      <c r="A152" s="33"/>
      <c r="B152" s="4"/>
      <c r="C152" s="4"/>
      <c r="D152" s="4"/>
      <c r="E152" s="4" t="s">
        <v>4</v>
      </c>
      <c r="F152" s="102">
        <f>F149*F150/F151</f>
        <v>352</v>
      </c>
      <c r="G152" s="4"/>
      <c r="H152" s="4" t="s">
        <v>116</v>
      </c>
      <c r="I152" s="4"/>
    </row>
    <row r="153" spans="1:9" ht="15" customHeight="1" x14ac:dyDescent="0.25">
      <c r="A153" s="33"/>
      <c r="B153" s="4"/>
      <c r="C153" s="4"/>
      <c r="D153" s="4"/>
      <c r="E153" s="4"/>
      <c r="F153" s="102"/>
      <c r="G153" s="4"/>
      <c r="H153" s="4"/>
      <c r="I153" s="4"/>
    </row>
    <row r="154" spans="1:9" ht="15" customHeight="1" x14ac:dyDescent="0.25">
      <c r="A154" s="33"/>
      <c r="B154" s="4"/>
      <c r="C154" s="4"/>
      <c r="D154" s="4" t="s">
        <v>14</v>
      </c>
      <c r="E154" s="4" t="s">
        <v>4</v>
      </c>
      <c r="F154" s="102">
        <f>F128+F134+F140+F146+F152</f>
        <v>4119.5616438356165</v>
      </c>
      <c r="G154" s="4"/>
      <c r="H154" s="4" t="s">
        <v>116</v>
      </c>
      <c r="I154" s="4"/>
    </row>
    <row r="155" spans="1:9" ht="15" customHeight="1" x14ac:dyDescent="0.25">
      <c r="A155" s="33"/>
      <c r="B155" s="4"/>
      <c r="C155" s="4"/>
      <c r="D155" s="4"/>
      <c r="E155" s="4"/>
      <c r="F155" s="4"/>
      <c r="G155" s="4"/>
      <c r="H155" s="4"/>
      <c r="I155" s="4"/>
    </row>
    <row r="156" spans="1:9" ht="15" customHeight="1" x14ac:dyDescent="0.25">
      <c r="A156" s="33"/>
      <c r="C156" s="4" t="s">
        <v>151</v>
      </c>
      <c r="D156" s="4"/>
      <c r="E156" s="4"/>
      <c r="F156" s="4"/>
      <c r="G156" s="4"/>
      <c r="H156" s="4"/>
      <c r="I156" s="4"/>
    </row>
    <row r="157" spans="1:9" ht="15" customHeight="1" x14ac:dyDescent="0.25">
      <c r="A157" s="33"/>
      <c r="B157" s="4"/>
      <c r="C157" s="4"/>
      <c r="D157" s="4"/>
      <c r="E157" s="4"/>
      <c r="F157" s="102">
        <f>'Ввод данных'!E307</f>
        <v>1</v>
      </c>
      <c r="G157" s="4"/>
      <c r="H157" s="4" t="s">
        <v>148</v>
      </c>
      <c r="I157" s="4"/>
    </row>
    <row r="158" spans="1:9" ht="15" customHeight="1" x14ac:dyDescent="0.25">
      <c r="A158" s="33"/>
      <c r="B158" s="4"/>
      <c r="C158" s="4"/>
      <c r="D158" s="4"/>
      <c r="E158" s="4" t="s">
        <v>2</v>
      </c>
      <c r="F158" s="102">
        <f>'Ввод данных'!E310</f>
        <v>4700</v>
      </c>
      <c r="G158" s="4"/>
      <c r="H158" s="4" t="s">
        <v>127</v>
      </c>
      <c r="I158" s="4"/>
    </row>
    <row r="159" spans="1:9" ht="15" customHeight="1" x14ac:dyDescent="0.25">
      <c r="A159" s="33"/>
      <c r="B159" s="4"/>
      <c r="C159" s="4"/>
      <c r="D159" s="4"/>
      <c r="E159" s="4" t="s">
        <v>2</v>
      </c>
      <c r="F159" s="102">
        <f>'Ввод данных'!E15</f>
        <v>20</v>
      </c>
      <c r="G159" s="4"/>
      <c r="H159" s="4" t="s">
        <v>123</v>
      </c>
      <c r="I159" s="4"/>
    </row>
    <row r="160" spans="1:9" ht="15" customHeight="1" x14ac:dyDescent="0.25">
      <c r="A160" s="33"/>
      <c r="B160" s="4"/>
      <c r="C160" s="4"/>
      <c r="D160" s="4"/>
      <c r="E160" s="12" t="s">
        <v>3</v>
      </c>
      <c r="F160" s="106">
        <f>'Ввод данных'!E14</f>
        <v>500</v>
      </c>
      <c r="G160" s="12"/>
      <c r="H160" s="12" t="s">
        <v>141</v>
      </c>
      <c r="I160" s="4"/>
    </row>
    <row r="161" spans="1:9" ht="15" customHeight="1" x14ac:dyDescent="0.25">
      <c r="A161" s="33"/>
      <c r="B161" s="4"/>
      <c r="C161" s="4"/>
      <c r="D161" s="4"/>
      <c r="E161" s="4" t="s">
        <v>4</v>
      </c>
      <c r="F161" s="102">
        <f>F157*F158*F159/F160</f>
        <v>188</v>
      </c>
      <c r="G161" s="4"/>
      <c r="H161" s="4" t="s">
        <v>116</v>
      </c>
      <c r="I161" s="4"/>
    </row>
    <row r="162" spans="1:9" ht="15" customHeight="1" x14ac:dyDescent="0.25">
      <c r="A162" s="33"/>
      <c r="B162" s="4"/>
      <c r="C162" s="4"/>
      <c r="D162" s="4"/>
      <c r="E162" s="4"/>
      <c r="F162" s="105"/>
      <c r="G162" s="4"/>
      <c r="H162" s="4"/>
      <c r="I162" s="4"/>
    </row>
    <row r="163" spans="1:9" ht="15" customHeight="1" x14ac:dyDescent="0.25">
      <c r="A163" s="33"/>
      <c r="C163" s="4" t="s">
        <v>152</v>
      </c>
      <c r="D163" s="4"/>
      <c r="E163" s="4"/>
      <c r="F163" s="105"/>
      <c r="G163" s="4"/>
      <c r="H163" s="4"/>
      <c r="I163" s="4"/>
    </row>
    <row r="164" spans="1:9" ht="15" customHeight="1" x14ac:dyDescent="0.25">
      <c r="A164" s="33"/>
      <c r="B164" s="4"/>
      <c r="C164" s="4"/>
      <c r="D164" s="4"/>
      <c r="E164" s="4"/>
      <c r="F164" s="102">
        <f>'Ввод данных'!E337</f>
        <v>7000</v>
      </c>
      <c r="G164" s="4"/>
      <c r="H164" s="4" t="s">
        <v>149</v>
      </c>
      <c r="I164" s="4"/>
    </row>
    <row r="165" spans="1:9" ht="15" customHeight="1" x14ac:dyDescent="0.25">
      <c r="A165" s="33"/>
      <c r="B165" s="4"/>
      <c r="C165" s="4"/>
      <c r="D165" s="4"/>
      <c r="E165" s="4" t="s">
        <v>5</v>
      </c>
      <c r="F165" s="102">
        <f>'Ввод данных'!E336</f>
        <v>1600</v>
      </c>
      <c r="G165" s="4"/>
      <c r="H165" s="4" t="s">
        <v>150</v>
      </c>
      <c r="I165" s="4"/>
    </row>
    <row r="166" spans="1:9" ht="15" customHeight="1" x14ac:dyDescent="0.25">
      <c r="A166" s="33"/>
      <c r="B166" s="4"/>
      <c r="C166" s="4"/>
      <c r="D166" s="4"/>
      <c r="E166" s="4" t="s">
        <v>2</v>
      </c>
      <c r="F166" s="102">
        <f>'Ввод данных'!E15</f>
        <v>20</v>
      </c>
      <c r="G166" s="4"/>
      <c r="H166" s="4" t="s">
        <v>123</v>
      </c>
      <c r="I166" s="4"/>
    </row>
    <row r="167" spans="1:9" ht="15" customHeight="1" x14ac:dyDescent="0.25">
      <c r="A167" s="33"/>
      <c r="B167" s="4"/>
      <c r="C167" s="4"/>
      <c r="D167" s="4"/>
      <c r="E167" s="12" t="s">
        <v>3</v>
      </c>
      <c r="F167" s="106">
        <f>'Ввод данных'!E14</f>
        <v>500</v>
      </c>
      <c r="G167" s="12"/>
      <c r="H167" s="12" t="s">
        <v>141</v>
      </c>
      <c r="I167" s="4"/>
    </row>
    <row r="168" spans="1:9" ht="15" customHeight="1" x14ac:dyDescent="0.25">
      <c r="A168" s="33"/>
      <c r="B168" s="4"/>
      <c r="C168" s="4"/>
      <c r="D168" s="4"/>
      <c r="E168" s="4" t="s">
        <v>4</v>
      </c>
      <c r="F168" s="102">
        <f>ROUND(((F164+F165)*F166)/F167,2)</f>
        <v>344</v>
      </c>
      <c r="G168" s="4"/>
      <c r="H168" s="4" t="s">
        <v>116</v>
      </c>
      <c r="I168" s="4"/>
    </row>
    <row r="169" spans="1:9" ht="15" customHeight="1" x14ac:dyDescent="0.25">
      <c r="A169" s="33"/>
      <c r="B169" s="4"/>
      <c r="C169" s="4"/>
      <c r="D169" s="4"/>
      <c r="E169" s="4"/>
      <c r="F169" s="4"/>
      <c r="G169" s="4"/>
      <c r="H169" s="4"/>
      <c r="I169" s="4"/>
    </row>
    <row r="170" spans="1:9" ht="15" customHeight="1" x14ac:dyDescent="0.25">
      <c r="A170" s="33"/>
      <c r="C170" s="4" t="s">
        <v>153</v>
      </c>
      <c r="D170" s="4"/>
      <c r="E170" s="4"/>
      <c r="F170" s="105"/>
      <c r="G170" s="4"/>
      <c r="H170" s="4"/>
      <c r="I170" s="4"/>
    </row>
    <row r="171" spans="1:9" ht="15" customHeight="1" x14ac:dyDescent="0.25">
      <c r="A171" s="33"/>
      <c r="B171" s="4"/>
      <c r="C171" s="4"/>
      <c r="D171" s="4"/>
      <c r="E171" s="4"/>
      <c r="F171" s="102">
        <f>'Ввод данных'!E340</f>
        <v>265000</v>
      </c>
      <c r="G171" s="4"/>
      <c r="H171" s="4" t="s">
        <v>156</v>
      </c>
      <c r="I171" s="4"/>
    </row>
    <row r="172" spans="1:9" ht="15" customHeight="1" x14ac:dyDescent="0.25">
      <c r="A172" s="33"/>
      <c r="B172" s="4"/>
      <c r="C172" s="4"/>
      <c r="D172" s="4"/>
      <c r="E172" s="4" t="s">
        <v>6</v>
      </c>
      <c r="F172" s="102">
        <f>'Ввод данных'!E341</f>
        <v>245000</v>
      </c>
      <c r="G172" s="4"/>
      <c r="H172" s="4" t="s">
        <v>157</v>
      </c>
      <c r="I172" s="4"/>
    </row>
    <row r="173" spans="1:9" ht="15" customHeight="1" x14ac:dyDescent="0.25">
      <c r="A173" s="33"/>
      <c r="B173" s="4"/>
      <c r="C173" s="4"/>
      <c r="D173" s="4"/>
      <c r="E173" s="4" t="s">
        <v>2</v>
      </c>
      <c r="F173" s="102">
        <f>'Ввод данных'!E21</f>
        <v>50</v>
      </c>
      <c r="G173" s="4"/>
      <c r="H173" s="4" t="s">
        <v>158</v>
      </c>
      <c r="I173" s="4"/>
    </row>
    <row r="174" spans="1:9" ht="15" customHeight="1" x14ac:dyDescent="0.25">
      <c r="A174" s="33"/>
      <c r="B174" s="4"/>
      <c r="C174" s="4"/>
      <c r="D174" s="4"/>
      <c r="E174" s="4" t="s">
        <v>2</v>
      </c>
      <c r="F174" s="102">
        <f>'Ввод данных'!E15</f>
        <v>20</v>
      </c>
      <c r="G174" s="4"/>
      <c r="H174" s="4" t="s">
        <v>123</v>
      </c>
      <c r="I174" s="4"/>
    </row>
    <row r="175" spans="1:9" ht="15" customHeight="1" x14ac:dyDescent="0.25">
      <c r="A175" s="33"/>
      <c r="B175" s="4"/>
      <c r="C175" s="4"/>
      <c r="D175" s="4"/>
      <c r="E175" s="12" t="s">
        <v>3</v>
      </c>
      <c r="F175" s="106">
        <f>'Ввод данных'!E14</f>
        <v>500</v>
      </c>
      <c r="G175" s="12"/>
      <c r="H175" s="12" t="s">
        <v>141</v>
      </c>
      <c r="I175" s="4"/>
    </row>
    <row r="176" spans="1:9" ht="15" customHeight="1" x14ac:dyDescent="0.25">
      <c r="A176" s="33"/>
      <c r="B176" s="4"/>
      <c r="C176" s="4"/>
      <c r="D176" s="4"/>
      <c r="E176" s="4" t="s">
        <v>4</v>
      </c>
      <c r="F176" s="102">
        <f>ROUND(((F171-F172)*F173)*F174/F175,2)/100</f>
        <v>400</v>
      </c>
      <c r="G176" s="4"/>
      <c r="H176" s="4" t="s">
        <v>116</v>
      </c>
      <c r="I176" s="4"/>
    </row>
    <row r="177" spans="1:9" ht="15" customHeight="1" x14ac:dyDescent="0.25">
      <c r="A177" s="33"/>
      <c r="B177" s="4"/>
      <c r="C177" s="4"/>
      <c r="D177" s="4"/>
      <c r="E177" s="4"/>
      <c r="F177" s="105"/>
      <c r="G177" s="4"/>
      <c r="H177" s="4"/>
      <c r="I177" s="4"/>
    </row>
    <row r="178" spans="1:9" ht="15" customHeight="1" x14ac:dyDescent="0.25">
      <c r="A178" s="33"/>
      <c r="C178" s="88" t="s">
        <v>154</v>
      </c>
      <c r="D178" s="88"/>
      <c r="E178" s="4"/>
      <c r="F178" s="105"/>
      <c r="G178" s="4"/>
      <c r="H178" s="4"/>
      <c r="I178" s="4"/>
    </row>
    <row r="179" spans="1:9" ht="15" customHeight="1" x14ac:dyDescent="0.25">
      <c r="A179" s="33"/>
      <c r="B179" s="4"/>
      <c r="C179" s="4"/>
      <c r="D179" s="4"/>
      <c r="E179" s="4"/>
      <c r="F179" s="102">
        <f>'Ввод данных'!E340</f>
        <v>265000</v>
      </c>
      <c r="G179" s="4"/>
      <c r="H179" s="4" t="s">
        <v>156</v>
      </c>
      <c r="I179" s="4"/>
    </row>
    <row r="180" spans="1:9" ht="15" customHeight="1" x14ac:dyDescent="0.25">
      <c r="A180" s="33"/>
      <c r="B180" s="4"/>
      <c r="C180" s="4"/>
      <c r="D180" s="4"/>
      <c r="E180" s="4" t="s">
        <v>5</v>
      </c>
      <c r="F180" s="102">
        <f>'Ввод данных'!E341</f>
        <v>245000</v>
      </c>
      <c r="G180" s="4"/>
      <c r="H180" s="4" t="s">
        <v>157</v>
      </c>
      <c r="I180" s="4"/>
    </row>
    <row r="181" spans="1:9" ht="15" customHeight="1" x14ac:dyDescent="0.25">
      <c r="A181" s="33"/>
      <c r="B181" s="4"/>
      <c r="C181" s="4"/>
      <c r="D181" s="4"/>
      <c r="E181" s="4" t="s">
        <v>3</v>
      </c>
      <c r="F181" s="102">
        <v>2</v>
      </c>
      <c r="G181" s="4"/>
      <c r="H181" s="4" t="s">
        <v>159</v>
      </c>
      <c r="I181" s="4"/>
    </row>
    <row r="182" spans="1:9" ht="15" customHeight="1" x14ac:dyDescent="0.25">
      <c r="A182" s="33"/>
      <c r="B182" s="4"/>
      <c r="C182" s="4"/>
      <c r="D182" s="4"/>
      <c r="E182" s="4" t="s">
        <v>2</v>
      </c>
      <c r="F182" s="138">
        <f>'Ввод данных'!E371</f>
        <v>2.5</v>
      </c>
      <c r="G182" s="88"/>
      <c r="H182" s="88" t="s">
        <v>247</v>
      </c>
      <c r="I182" s="88"/>
    </row>
    <row r="183" spans="1:9" ht="15" customHeight="1" x14ac:dyDescent="0.25">
      <c r="A183" s="33"/>
      <c r="B183" s="4"/>
      <c r="C183" s="4"/>
      <c r="D183" s="4"/>
      <c r="E183" s="4" t="s">
        <v>2</v>
      </c>
      <c r="F183" s="102">
        <f>'Ввод данных'!E15</f>
        <v>20</v>
      </c>
      <c r="G183" s="4"/>
      <c r="H183" s="4" t="s">
        <v>123</v>
      </c>
      <c r="I183" s="4"/>
    </row>
    <row r="184" spans="1:9" ht="15" customHeight="1" x14ac:dyDescent="0.25">
      <c r="A184" s="33"/>
      <c r="B184" s="4"/>
      <c r="C184" s="4"/>
      <c r="D184" s="12"/>
      <c r="E184" s="12" t="s">
        <v>3</v>
      </c>
      <c r="F184" s="106">
        <f>'Ввод данных'!E14</f>
        <v>500</v>
      </c>
      <c r="G184" s="12"/>
      <c r="H184" s="12" t="s">
        <v>141</v>
      </c>
      <c r="I184" s="4"/>
    </row>
    <row r="185" spans="1:9" ht="15" customHeight="1" x14ac:dyDescent="0.25">
      <c r="A185" s="33"/>
      <c r="B185" s="4"/>
      <c r="C185" s="4"/>
      <c r="D185" s="4"/>
      <c r="E185" s="4" t="s">
        <v>4</v>
      </c>
      <c r="F185" s="102">
        <f>ROUND((((F179+F180)/F181)*F182)*F183/F184,2)/100</f>
        <v>255</v>
      </c>
      <c r="G185" s="4"/>
      <c r="H185" s="4" t="s">
        <v>116</v>
      </c>
      <c r="I185" s="4"/>
    </row>
    <row r="186" spans="1:9" ht="15" customHeight="1" x14ac:dyDescent="0.25">
      <c r="A186" s="33"/>
      <c r="B186" s="4"/>
      <c r="C186" s="4"/>
      <c r="D186" s="4"/>
      <c r="E186" s="4"/>
      <c r="F186" s="4"/>
      <c r="G186" s="4"/>
      <c r="H186" s="4"/>
      <c r="I186" s="4"/>
    </row>
    <row r="187" spans="1:9" ht="15" customHeight="1" x14ac:dyDescent="0.25">
      <c r="A187" s="33"/>
      <c r="C187" s="4" t="s">
        <v>155</v>
      </c>
      <c r="D187" s="4"/>
      <c r="E187" s="4"/>
      <c r="F187" s="4"/>
      <c r="G187" s="4"/>
      <c r="H187" s="4"/>
      <c r="I187" s="4"/>
    </row>
    <row r="188" spans="1:9" ht="15" customHeight="1" x14ac:dyDescent="0.25">
      <c r="A188" s="33"/>
      <c r="B188" s="4"/>
      <c r="C188" s="4"/>
      <c r="D188" s="4"/>
      <c r="E188" s="4"/>
      <c r="F188" s="102">
        <f>'Ввод данных'!E342</f>
        <v>1930.44</v>
      </c>
      <c r="G188" s="4"/>
      <c r="H188" s="4" t="s">
        <v>147</v>
      </c>
      <c r="I188" s="4"/>
    </row>
    <row r="189" spans="1:9" ht="15" customHeight="1" x14ac:dyDescent="0.25">
      <c r="A189" s="33"/>
      <c r="B189" s="4"/>
      <c r="C189" s="4"/>
      <c r="D189" s="4"/>
      <c r="E189" s="4" t="s">
        <v>2</v>
      </c>
      <c r="F189" s="102">
        <f>'Ввод данных'!E15</f>
        <v>20</v>
      </c>
      <c r="G189" s="4"/>
      <c r="H189" s="4" t="s">
        <v>123</v>
      </c>
      <c r="I189" s="4"/>
    </row>
    <row r="190" spans="1:9" ht="15" customHeight="1" x14ac:dyDescent="0.25">
      <c r="A190" s="33"/>
      <c r="B190" s="4"/>
      <c r="C190" s="4"/>
      <c r="D190" s="4"/>
      <c r="E190" s="18" t="s">
        <v>3</v>
      </c>
      <c r="F190" s="106">
        <f>'Ввод данных'!E14</f>
        <v>500</v>
      </c>
      <c r="G190" s="18"/>
      <c r="H190" s="12" t="s">
        <v>141</v>
      </c>
      <c r="I190" s="4"/>
    </row>
    <row r="191" spans="1:9" ht="15" customHeight="1" x14ac:dyDescent="0.25">
      <c r="A191" s="33"/>
      <c r="B191" s="4"/>
      <c r="C191" s="4"/>
      <c r="D191" s="4"/>
      <c r="E191" s="4" t="s">
        <v>4</v>
      </c>
      <c r="F191" s="102">
        <f>ROUND((F188*F189)/F190,2)</f>
        <v>77.22</v>
      </c>
      <c r="G191" s="4"/>
      <c r="H191" s="4" t="s">
        <v>116</v>
      </c>
      <c r="I191" s="4"/>
    </row>
    <row r="192" spans="1:9" ht="15" customHeight="1" x14ac:dyDescent="0.25">
      <c r="A192" s="33"/>
      <c r="B192" s="4"/>
      <c r="C192" s="4"/>
      <c r="D192" s="4"/>
      <c r="E192" s="4"/>
      <c r="F192" s="102"/>
      <c r="G192" s="4"/>
      <c r="H192" s="4"/>
      <c r="I192" s="4"/>
    </row>
    <row r="193" spans="1:9" ht="15" customHeight="1" x14ac:dyDescent="0.25">
      <c r="A193" s="33"/>
      <c r="B193" s="4"/>
      <c r="C193" s="4" t="str">
        <f>'Ввод данных'!A344</f>
        <v>Прочие альтернативы по разведению</v>
      </c>
      <c r="D193" s="4"/>
      <c r="E193" s="4"/>
      <c r="F193" s="102"/>
      <c r="G193" s="4"/>
      <c r="H193" s="4"/>
      <c r="I193" s="4"/>
    </row>
    <row r="194" spans="1:9" ht="15" customHeight="1" x14ac:dyDescent="0.25">
      <c r="A194" s="33"/>
      <c r="B194" s="4"/>
      <c r="C194" s="4"/>
      <c r="D194" s="4"/>
      <c r="E194" s="4"/>
      <c r="F194" s="102">
        <f>'Ввод данных'!E346</f>
        <v>9500</v>
      </c>
      <c r="G194" s="4"/>
      <c r="H194" s="4" t="s">
        <v>259</v>
      </c>
      <c r="I194" s="4"/>
    </row>
    <row r="195" spans="1:9" ht="15" customHeight="1" x14ac:dyDescent="0.25">
      <c r="A195" s="33"/>
      <c r="B195" s="4"/>
      <c r="C195" s="4"/>
      <c r="D195" s="4"/>
      <c r="E195" s="4" t="s">
        <v>2</v>
      </c>
      <c r="F195" s="102">
        <f>'Ввод данных'!E347</f>
        <v>500</v>
      </c>
      <c r="G195" s="4"/>
      <c r="H195" s="4" t="s">
        <v>260</v>
      </c>
      <c r="I195" s="4"/>
    </row>
    <row r="196" spans="1:9" ht="15" customHeight="1" x14ac:dyDescent="0.35">
      <c r="A196" s="33"/>
      <c r="B196" s="4"/>
      <c r="C196" s="4"/>
      <c r="D196" s="4"/>
      <c r="E196" s="4"/>
      <c r="F196" s="130">
        <f>F190</f>
        <v>500</v>
      </c>
      <c r="G196" s="4"/>
      <c r="H196" s="6" t="s">
        <v>124</v>
      </c>
      <c r="I196" s="4"/>
    </row>
    <row r="197" spans="1:9" ht="15" customHeight="1" x14ac:dyDescent="0.25">
      <c r="A197" s="33"/>
      <c r="B197" s="4"/>
      <c r="C197" s="4"/>
      <c r="D197" s="4"/>
      <c r="E197" s="4"/>
      <c r="F197" s="102">
        <f>F194*F195/F196</f>
        <v>9500</v>
      </c>
      <c r="G197" s="4"/>
      <c r="H197" s="4" t="s">
        <v>116</v>
      </c>
      <c r="I197" s="4"/>
    </row>
    <row r="198" spans="1:9" ht="15" customHeight="1" x14ac:dyDescent="0.25">
      <c r="A198" s="33"/>
      <c r="B198" s="4"/>
      <c r="C198" s="4"/>
      <c r="D198" s="4"/>
      <c r="E198" s="4"/>
      <c r="F198" s="102"/>
      <c r="G198" s="4"/>
      <c r="H198" s="4"/>
      <c r="I198" s="4"/>
    </row>
    <row r="199" spans="1:9" ht="15" customHeight="1" x14ac:dyDescent="0.25">
      <c r="A199" s="33"/>
      <c r="B199" s="4"/>
      <c r="C199" s="4"/>
      <c r="D199" s="4"/>
      <c r="E199" s="4"/>
      <c r="F199" s="4"/>
      <c r="G199" s="4"/>
      <c r="H199" s="4"/>
      <c r="I199" s="4"/>
    </row>
    <row r="200" spans="1:9" ht="15" customHeight="1" x14ac:dyDescent="0.25">
      <c r="A200" s="33"/>
      <c r="B200" s="4"/>
      <c r="C200" s="4"/>
      <c r="D200" s="14" t="s">
        <v>14</v>
      </c>
      <c r="E200" s="14" t="s">
        <v>4</v>
      </c>
      <c r="F200" s="98">
        <f>ROUND(F154+F161+F168+F176+F185+F191+F197,2)</f>
        <v>14883.78</v>
      </c>
      <c r="G200" s="14"/>
      <c r="H200" s="14" t="s">
        <v>116</v>
      </c>
      <c r="I200" s="4"/>
    </row>
    <row r="201" spans="1:9" ht="15" customHeight="1" x14ac:dyDescent="0.25">
      <c r="A201" s="33"/>
      <c r="B201" s="4"/>
      <c r="C201" s="4"/>
      <c r="D201" s="4"/>
      <c r="E201" s="4"/>
      <c r="F201" s="4"/>
      <c r="G201" s="4"/>
      <c r="H201" s="4"/>
      <c r="I201" s="4"/>
    </row>
    <row r="202" spans="1:9" ht="15" customHeight="1" x14ac:dyDescent="0.25">
      <c r="A202" s="33"/>
      <c r="C202" s="14" t="s">
        <v>160</v>
      </c>
      <c r="D202" s="4"/>
      <c r="E202" s="4"/>
      <c r="F202" s="4"/>
      <c r="G202" s="4"/>
      <c r="H202" s="4"/>
      <c r="I202" s="4"/>
    </row>
    <row r="203" spans="1:9" ht="15" customHeight="1" x14ac:dyDescent="0.25">
      <c r="A203" s="33"/>
      <c r="C203" s="4" t="s">
        <v>161</v>
      </c>
      <c r="D203" s="4"/>
      <c r="E203" s="4"/>
      <c r="F203" s="4"/>
      <c r="G203" s="4"/>
      <c r="H203" s="4"/>
      <c r="I203" s="4"/>
    </row>
    <row r="204" spans="1:9" ht="15" customHeight="1" x14ac:dyDescent="0.25">
      <c r="A204" s="33"/>
      <c r="B204" s="4"/>
      <c r="C204" s="4"/>
      <c r="D204" s="4"/>
      <c r="E204" s="4"/>
      <c r="F204" s="102">
        <f>'Ввод данных'!E350</f>
        <v>308000</v>
      </c>
      <c r="G204" s="4"/>
      <c r="H204" s="4" t="s">
        <v>162</v>
      </c>
      <c r="I204" s="4"/>
    </row>
    <row r="205" spans="1:9" ht="15" customHeight="1" x14ac:dyDescent="0.25">
      <c r="A205" s="33"/>
      <c r="B205" s="4"/>
      <c r="C205" s="4"/>
      <c r="D205" s="4"/>
      <c r="E205" s="4" t="s">
        <v>5</v>
      </c>
      <c r="F205" s="102">
        <f>'Ввод данных'!E351</f>
        <v>227150</v>
      </c>
      <c r="G205" s="4"/>
      <c r="H205" s="4" t="s">
        <v>163</v>
      </c>
      <c r="I205" s="4"/>
    </row>
    <row r="206" spans="1:9" ht="15" customHeight="1" x14ac:dyDescent="0.25">
      <c r="A206" s="33"/>
      <c r="B206" s="4"/>
      <c r="C206" s="4"/>
      <c r="D206" s="4"/>
      <c r="E206" s="12" t="s">
        <v>3</v>
      </c>
      <c r="F206" s="106">
        <f>'Ввод данных'!E14</f>
        <v>500</v>
      </c>
      <c r="G206" s="12"/>
      <c r="H206" s="12" t="s">
        <v>141</v>
      </c>
      <c r="I206" s="12"/>
    </row>
    <row r="207" spans="1:9" ht="15" customHeight="1" x14ac:dyDescent="0.25">
      <c r="A207" s="33"/>
      <c r="B207" s="4"/>
      <c r="C207" s="4"/>
      <c r="D207" s="4"/>
      <c r="E207" s="4" t="s">
        <v>4</v>
      </c>
      <c r="F207" s="102">
        <f>ROUND((F204+F205)/F206,2)</f>
        <v>1070.3</v>
      </c>
      <c r="G207" s="4"/>
      <c r="H207" s="4" t="s">
        <v>116</v>
      </c>
      <c r="I207" s="4"/>
    </row>
    <row r="208" spans="1:9" ht="15" customHeight="1" x14ac:dyDescent="0.25">
      <c r="A208" s="33"/>
      <c r="B208" s="4"/>
      <c r="C208" s="4"/>
      <c r="D208" s="4"/>
      <c r="E208" s="4"/>
      <c r="F208" s="4"/>
      <c r="G208" s="4"/>
      <c r="H208" s="4"/>
      <c r="I208" s="4"/>
    </row>
    <row r="209" spans="1:9" ht="15" customHeight="1" x14ac:dyDescent="0.25">
      <c r="A209" s="33"/>
      <c r="C209" s="4" t="s">
        <v>74</v>
      </c>
      <c r="D209" s="4"/>
      <c r="E209" s="4"/>
      <c r="F209" s="4"/>
      <c r="G209" s="4"/>
      <c r="H209" s="4"/>
      <c r="I209" s="4"/>
    </row>
    <row r="210" spans="1:9" ht="15" customHeight="1" x14ac:dyDescent="0.25">
      <c r="A210" s="33"/>
      <c r="B210" s="4"/>
      <c r="C210" s="4"/>
      <c r="D210" s="4"/>
      <c r="E210" s="4"/>
      <c r="F210" s="102">
        <f>'Ввод данных'!E352</f>
        <v>192500</v>
      </c>
      <c r="G210" s="4"/>
      <c r="H210" s="4" t="s">
        <v>164</v>
      </c>
      <c r="I210" s="4"/>
    </row>
    <row r="211" spans="1:9" ht="15" customHeight="1" x14ac:dyDescent="0.25">
      <c r="A211" s="33"/>
      <c r="B211" s="4"/>
      <c r="C211" s="4"/>
      <c r="D211" s="4"/>
      <c r="E211" s="12" t="s">
        <v>3</v>
      </c>
      <c r="F211" s="106">
        <f>'Ввод данных'!E14</f>
        <v>500</v>
      </c>
      <c r="G211" s="12"/>
      <c r="H211" s="12" t="s">
        <v>141</v>
      </c>
      <c r="I211" s="4"/>
    </row>
    <row r="212" spans="1:9" ht="15" customHeight="1" x14ac:dyDescent="0.25">
      <c r="A212" s="33"/>
      <c r="B212" s="4"/>
      <c r="C212" s="4"/>
      <c r="D212" s="4"/>
      <c r="E212" s="4" t="s">
        <v>4</v>
      </c>
      <c r="F212" s="102">
        <f>ROUND(F210/F211,2)</f>
        <v>385</v>
      </c>
      <c r="G212" s="4"/>
      <c r="H212" s="4" t="s">
        <v>116</v>
      </c>
      <c r="I212" s="4"/>
    </row>
    <row r="213" spans="1:9" ht="15" customHeight="1" x14ac:dyDescent="0.25">
      <c r="A213" s="33"/>
      <c r="B213" s="4"/>
      <c r="C213" s="4"/>
      <c r="D213" s="4"/>
      <c r="E213" s="4"/>
      <c r="F213" s="105"/>
      <c r="G213" s="4"/>
      <c r="H213" s="4"/>
      <c r="I213" s="4"/>
    </row>
    <row r="214" spans="1:9" ht="15" customHeight="1" x14ac:dyDescent="0.25">
      <c r="A214" s="33"/>
      <c r="B214" s="4"/>
      <c r="C214" s="4"/>
      <c r="D214" s="14" t="s">
        <v>14</v>
      </c>
      <c r="E214" s="14" t="s">
        <v>4</v>
      </c>
      <c r="F214" s="100">
        <f>ROUND(F207+F212,2)</f>
        <v>1455.3</v>
      </c>
      <c r="G214" s="14"/>
      <c r="H214" s="14" t="s">
        <v>116</v>
      </c>
      <c r="I214" s="14"/>
    </row>
    <row r="215" spans="1:9" ht="15" customHeight="1" x14ac:dyDescent="0.25">
      <c r="A215" s="33"/>
      <c r="B215" s="4"/>
      <c r="C215" s="4"/>
      <c r="D215" s="4"/>
      <c r="E215" s="4"/>
      <c r="F215" s="105"/>
      <c r="G215" s="4"/>
      <c r="H215" s="4"/>
      <c r="I215" s="4"/>
    </row>
    <row r="216" spans="1:9" ht="15" customHeight="1" x14ac:dyDescent="0.25">
      <c r="A216" s="33"/>
      <c r="C216" s="14" t="s">
        <v>166</v>
      </c>
      <c r="D216" s="4"/>
      <c r="E216" s="4"/>
      <c r="F216" s="105"/>
      <c r="G216" s="4"/>
      <c r="H216" s="4"/>
      <c r="I216" s="4"/>
    </row>
    <row r="217" spans="1:9" ht="15" customHeight="1" x14ac:dyDescent="0.25">
      <c r="A217" s="33"/>
      <c r="B217" s="4"/>
      <c r="C217" s="4"/>
      <c r="D217" s="4"/>
      <c r="E217" s="4"/>
      <c r="F217" s="102">
        <f>SUM('Ввод данных'!E356:E359)</f>
        <v>490000</v>
      </c>
      <c r="G217" s="4"/>
      <c r="H217" s="4" t="s">
        <v>165</v>
      </c>
      <c r="I217" s="4"/>
    </row>
    <row r="218" spans="1:9" ht="15" customHeight="1" x14ac:dyDescent="0.25">
      <c r="A218" s="33"/>
      <c r="B218" s="4"/>
      <c r="C218" s="4"/>
      <c r="D218" s="4"/>
      <c r="E218" s="12" t="s">
        <v>3</v>
      </c>
      <c r="F218" s="106">
        <f>'Ввод данных'!E14</f>
        <v>500</v>
      </c>
      <c r="G218" s="12"/>
      <c r="H218" s="12" t="s">
        <v>141</v>
      </c>
      <c r="I218" s="4"/>
    </row>
    <row r="219" spans="1:9" ht="15" customHeight="1" x14ac:dyDescent="0.25">
      <c r="A219" s="33"/>
      <c r="B219" s="4"/>
      <c r="C219" s="4"/>
      <c r="D219" s="4"/>
      <c r="E219" s="14" t="s">
        <v>4</v>
      </c>
      <c r="F219" s="100">
        <f>ROUND(F217/F218,2)</f>
        <v>980</v>
      </c>
      <c r="G219" s="14"/>
      <c r="H219" s="14" t="s">
        <v>116</v>
      </c>
      <c r="I219" s="4"/>
    </row>
    <row r="220" spans="1:9" ht="15" customHeight="1" x14ac:dyDescent="0.25">
      <c r="A220" s="33"/>
      <c r="B220" s="4"/>
      <c r="C220" s="4"/>
      <c r="D220" s="4"/>
      <c r="E220" s="4"/>
      <c r="F220" s="4"/>
      <c r="G220" s="4"/>
      <c r="H220" s="4"/>
      <c r="I220" s="4"/>
    </row>
    <row r="221" spans="1:9" ht="15" customHeight="1" x14ac:dyDescent="0.25">
      <c r="A221" s="33"/>
      <c r="C221" s="14" t="s">
        <v>242</v>
      </c>
      <c r="D221" s="4"/>
      <c r="E221" s="4"/>
      <c r="F221" s="4"/>
      <c r="G221" s="4"/>
      <c r="H221" s="4"/>
      <c r="I221" s="4"/>
    </row>
    <row r="222" spans="1:9" ht="15" customHeight="1" x14ac:dyDescent="0.25">
      <c r="A222" s="33"/>
      <c r="B222" s="4"/>
      <c r="C222" s="4" t="s">
        <v>167</v>
      </c>
      <c r="E222" s="4"/>
      <c r="F222" s="4"/>
      <c r="G222" s="4"/>
      <c r="H222" s="4"/>
      <c r="I222" s="4"/>
    </row>
    <row r="223" spans="1:9" ht="33.75" customHeight="1" x14ac:dyDescent="0.25">
      <c r="A223" s="33"/>
      <c r="B223" s="4"/>
      <c r="C223" s="4"/>
      <c r="D223" s="79" t="s">
        <v>244</v>
      </c>
      <c r="E223" s="4"/>
      <c r="F223" s="102">
        <f>'Ввод данных'!E363</f>
        <v>55</v>
      </c>
      <c r="G223" s="4"/>
      <c r="H223" s="4" t="s">
        <v>168</v>
      </c>
      <c r="I223" s="4"/>
    </row>
    <row r="224" spans="1:9" ht="15" customHeight="1" x14ac:dyDescent="0.25">
      <c r="A224" s="33"/>
      <c r="B224" s="4"/>
      <c r="C224" s="4"/>
      <c r="D224" s="4"/>
      <c r="E224" s="4" t="s">
        <v>6</v>
      </c>
      <c r="F224" s="102">
        <f>ROUND('Ввод данных'!E14*'Ввод данных'!E18/100,0)</f>
        <v>34</v>
      </c>
      <c r="G224" s="4"/>
      <c r="H224" s="4" t="s">
        <v>199</v>
      </c>
      <c r="I224" s="4"/>
    </row>
    <row r="225" spans="1:10" ht="15" customHeight="1" x14ac:dyDescent="0.25">
      <c r="A225" s="33"/>
      <c r="B225" s="4"/>
      <c r="C225" s="4"/>
      <c r="D225" s="4"/>
      <c r="E225" s="4" t="s">
        <v>2</v>
      </c>
      <c r="F225" s="102">
        <f>'Ввод данных'!E364</f>
        <v>6000</v>
      </c>
      <c r="G225" s="4"/>
      <c r="H225" s="4" t="s">
        <v>245</v>
      </c>
      <c r="I225" s="4"/>
    </row>
    <row r="226" spans="1:10" ht="15" customHeight="1" x14ac:dyDescent="0.25">
      <c r="A226" s="33"/>
      <c r="B226" s="4"/>
      <c r="C226" s="4"/>
      <c r="D226" s="4"/>
      <c r="E226" s="12" t="s">
        <v>3</v>
      </c>
      <c r="F226" s="106">
        <f>'Ввод данных'!E14</f>
        <v>500</v>
      </c>
      <c r="G226" s="12"/>
      <c r="H226" s="12" t="s">
        <v>141</v>
      </c>
      <c r="I226" s="4"/>
    </row>
    <row r="227" spans="1:10" ht="15" customHeight="1" x14ac:dyDescent="0.25">
      <c r="A227" s="33"/>
      <c r="B227" s="4"/>
      <c r="C227" s="4"/>
      <c r="D227" s="4"/>
      <c r="E227" s="4" t="s">
        <v>4</v>
      </c>
      <c r="F227" s="102">
        <f>ROUND(((F223-F224)*F225)/F226,0)</f>
        <v>252</v>
      </c>
      <c r="G227" s="4"/>
      <c r="H227" s="4" t="s">
        <v>116</v>
      </c>
      <c r="I227" s="4"/>
    </row>
    <row r="228" spans="1:10" ht="15" customHeight="1" x14ac:dyDescent="0.25">
      <c r="A228" s="33"/>
      <c r="B228" s="4"/>
      <c r="C228" s="4"/>
      <c r="D228" s="4"/>
      <c r="E228" s="4"/>
      <c r="F228" s="105"/>
      <c r="G228" s="4"/>
      <c r="H228" s="4"/>
      <c r="I228" s="4"/>
    </row>
    <row r="229" spans="1:10" ht="15" customHeight="1" x14ac:dyDescent="0.25">
      <c r="A229" s="33"/>
      <c r="B229" s="4"/>
      <c r="C229" s="4"/>
      <c r="D229" s="4"/>
      <c r="E229" s="4"/>
      <c r="F229" s="102"/>
      <c r="G229" s="4"/>
      <c r="H229" s="4"/>
      <c r="I229" s="4"/>
    </row>
    <row r="230" spans="1:10" ht="15" customHeight="1" x14ac:dyDescent="0.25">
      <c r="A230" s="33"/>
      <c r="B230" s="4"/>
      <c r="C230" s="4"/>
      <c r="D230" s="14" t="s">
        <v>14</v>
      </c>
      <c r="E230" s="14" t="s">
        <v>4</v>
      </c>
      <c r="F230" s="100">
        <f>F227</f>
        <v>252</v>
      </c>
      <c r="G230" s="14"/>
      <c r="H230" s="14" t="s">
        <v>116</v>
      </c>
      <c r="I230" s="14"/>
    </row>
    <row r="231" spans="1:10" ht="15" customHeight="1" x14ac:dyDescent="0.25">
      <c r="A231" s="33"/>
      <c r="B231" s="4"/>
      <c r="C231" s="4"/>
      <c r="D231" s="4"/>
      <c r="E231" s="4"/>
      <c r="F231" s="105"/>
      <c r="G231" s="4"/>
      <c r="H231" s="4"/>
      <c r="I231" s="4"/>
    </row>
    <row r="232" spans="1:10" ht="15" customHeight="1" x14ac:dyDescent="0.25">
      <c r="A232" s="33"/>
      <c r="C232" s="14" t="s">
        <v>176</v>
      </c>
      <c r="D232" s="4"/>
      <c r="E232" s="4"/>
      <c r="F232" s="105"/>
      <c r="G232" s="4"/>
      <c r="H232" s="4"/>
      <c r="I232" s="4"/>
    </row>
    <row r="233" spans="1:10" ht="15" customHeight="1" x14ac:dyDescent="0.25">
      <c r="A233" s="33"/>
      <c r="B233" s="4"/>
      <c r="C233" s="4"/>
      <c r="D233" s="4"/>
      <c r="E233" s="4"/>
      <c r="F233" s="146">
        <f>'Ввод данных'!E382</f>
        <v>365000</v>
      </c>
      <c r="G233" s="4"/>
      <c r="H233" s="4" t="s">
        <v>222</v>
      </c>
      <c r="I233" s="4"/>
    </row>
    <row r="234" spans="1:10" ht="15" customHeight="1" x14ac:dyDescent="0.25">
      <c r="A234" s="33"/>
      <c r="B234" s="4"/>
      <c r="C234" s="4"/>
      <c r="D234" s="12"/>
      <c r="E234" s="12" t="s">
        <v>2</v>
      </c>
      <c r="F234" s="158">
        <f>'Ввод данных'!E18</f>
        <v>6.7</v>
      </c>
      <c r="G234" s="12"/>
      <c r="H234" s="12" t="s">
        <v>171</v>
      </c>
      <c r="I234" s="12"/>
    </row>
    <row r="235" spans="1:10" ht="15" customHeight="1" x14ac:dyDescent="0.25">
      <c r="A235" s="33"/>
      <c r="B235" s="4"/>
      <c r="C235" s="4"/>
      <c r="D235" s="4"/>
      <c r="E235" s="14" t="s">
        <v>4</v>
      </c>
      <c r="F235" s="157">
        <f>F233*F234/100</f>
        <v>24455</v>
      </c>
      <c r="G235" s="14"/>
      <c r="H235" s="14" t="s">
        <v>116</v>
      </c>
      <c r="I235" s="4"/>
    </row>
    <row r="236" spans="1:10" ht="15" customHeight="1" x14ac:dyDescent="0.25">
      <c r="A236" s="33"/>
      <c r="B236" s="4"/>
      <c r="C236" s="4"/>
      <c r="D236" s="4"/>
      <c r="E236" s="4"/>
      <c r="F236" s="105"/>
      <c r="G236" s="4"/>
      <c r="H236" s="4"/>
      <c r="I236" s="4"/>
    </row>
    <row r="237" spans="1:10" ht="15" customHeight="1" x14ac:dyDescent="0.25">
      <c r="A237" s="33"/>
      <c r="C237" s="14" t="s">
        <v>172</v>
      </c>
      <c r="D237" s="4"/>
      <c r="E237" s="4"/>
      <c r="F237" s="105"/>
      <c r="G237" s="4"/>
      <c r="H237" s="4"/>
      <c r="I237" s="4"/>
    </row>
    <row r="238" spans="1:10" ht="15" customHeight="1" x14ac:dyDescent="0.25">
      <c r="A238" s="33"/>
      <c r="B238" s="4"/>
      <c r="C238" s="4"/>
      <c r="D238" s="4"/>
      <c r="E238" s="4"/>
      <c r="F238" s="102">
        <f>'Ввод данных'!E367</f>
        <v>462000</v>
      </c>
      <c r="G238" s="4"/>
      <c r="H238" s="4" t="s">
        <v>173</v>
      </c>
      <c r="I238" s="4"/>
    </row>
    <row r="239" spans="1:10" ht="15" customHeight="1" x14ac:dyDescent="0.25">
      <c r="A239" s="33"/>
      <c r="B239" s="4"/>
      <c r="C239" s="4"/>
      <c r="D239" s="4"/>
      <c r="E239" s="12" t="s">
        <v>3</v>
      </c>
      <c r="F239" s="106">
        <f>'Ввод данных'!E14</f>
        <v>500</v>
      </c>
      <c r="G239" s="12"/>
      <c r="H239" s="12" t="s">
        <v>141</v>
      </c>
      <c r="I239" s="4"/>
    </row>
    <row r="240" spans="1:10" ht="15" customHeight="1" x14ac:dyDescent="0.25">
      <c r="A240" s="33"/>
      <c r="B240" s="4"/>
      <c r="C240" s="4"/>
      <c r="D240" s="4"/>
      <c r="E240" s="14" t="s">
        <v>4</v>
      </c>
      <c r="F240" s="100">
        <f>ROUND(F238/F239,2)</f>
        <v>924</v>
      </c>
      <c r="G240" s="14"/>
      <c r="H240" s="14" t="s">
        <v>116</v>
      </c>
      <c r="I240" s="4"/>
      <c r="J240" s="63"/>
    </row>
    <row r="241" spans="1:10" ht="15" customHeight="1" x14ac:dyDescent="0.25">
      <c r="A241" s="33"/>
      <c r="B241" s="4"/>
      <c r="C241" s="4"/>
      <c r="D241" s="4"/>
      <c r="E241" s="4"/>
      <c r="F241" s="105"/>
      <c r="G241" s="4"/>
      <c r="H241" s="4"/>
      <c r="I241" s="4"/>
      <c r="J241" s="63"/>
    </row>
    <row r="242" spans="1:10" ht="15" customHeight="1" x14ac:dyDescent="0.25">
      <c r="A242" s="33"/>
      <c r="C242" s="14" t="s">
        <v>174</v>
      </c>
      <c r="D242" s="88"/>
      <c r="E242" s="4"/>
      <c r="F242" s="105"/>
      <c r="G242" s="4"/>
      <c r="H242" s="4"/>
      <c r="I242" s="4"/>
    </row>
    <row r="243" spans="1:10" ht="15" customHeight="1" x14ac:dyDescent="0.25">
      <c r="A243" s="33"/>
      <c r="C243" s="14"/>
      <c r="D243" s="4"/>
      <c r="E243" s="4"/>
      <c r="F243" s="125"/>
      <c r="G243" s="88"/>
      <c r="H243" s="88"/>
      <c r="I243" s="88"/>
    </row>
    <row r="244" spans="1:10" ht="15" customHeight="1" x14ac:dyDescent="0.25">
      <c r="A244" s="33"/>
      <c r="C244" s="14"/>
      <c r="D244" s="4"/>
      <c r="E244" s="4" t="s">
        <v>2</v>
      </c>
      <c r="F244" s="102">
        <f>'Ввод данных'!E375</f>
        <v>2200000</v>
      </c>
      <c r="G244" s="88"/>
      <c r="H244" s="88" t="s">
        <v>229</v>
      </c>
      <c r="I244" s="88"/>
    </row>
    <row r="245" spans="1:10" ht="15" customHeight="1" x14ac:dyDescent="0.25">
      <c r="A245" s="33"/>
      <c r="C245" s="14"/>
      <c r="D245" s="4"/>
      <c r="E245" s="6" t="s">
        <v>3</v>
      </c>
      <c r="F245" s="126">
        <f>'Ввод данных'!E14</f>
        <v>500</v>
      </c>
      <c r="G245" s="96"/>
      <c r="H245" s="90" t="s">
        <v>141</v>
      </c>
      <c r="I245" s="88"/>
    </row>
    <row r="246" spans="1:10" ht="15" customHeight="1" x14ac:dyDescent="0.25">
      <c r="A246" s="33"/>
      <c r="C246" s="14"/>
      <c r="D246" s="4"/>
      <c r="E246" s="73" t="s">
        <v>4</v>
      </c>
      <c r="F246" s="100">
        <f>F244/F245</f>
        <v>4400</v>
      </c>
      <c r="G246" s="97"/>
      <c r="H246" s="97" t="s">
        <v>116</v>
      </c>
      <c r="I246" s="88"/>
    </row>
    <row r="247" spans="1:10" ht="15" customHeight="1" x14ac:dyDescent="0.25">
      <c r="A247" s="33"/>
      <c r="B247" s="4"/>
      <c r="C247" s="4"/>
      <c r="D247" s="4"/>
      <c r="E247" s="4"/>
      <c r="F247" s="105"/>
      <c r="G247" s="4"/>
      <c r="H247" s="4"/>
      <c r="I247" s="4"/>
    </row>
    <row r="248" spans="1:10" ht="15" customHeight="1" x14ac:dyDescent="0.25">
      <c r="A248" s="33"/>
      <c r="B248" s="4"/>
      <c r="C248" s="4"/>
      <c r="D248" s="4"/>
      <c r="E248" s="4"/>
      <c r="F248" s="105"/>
      <c r="G248" s="4"/>
      <c r="H248" s="4"/>
      <c r="I248" s="4"/>
    </row>
    <row r="249" spans="1:10" ht="15" customHeight="1" x14ac:dyDescent="0.25">
      <c r="A249" s="33"/>
      <c r="C249" s="14" t="s">
        <v>175</v>
      </c>
      <c r="D249" s="4"/>
      <c r="E249" s="4"/>
      <c r="F249" s="105"/>
      <c r="G249" s="4"/>
      <c r="H249" s="4"/>
      <c r="I249" s="4"/>
    </row>
    <row r="250" spans="1:10" ht="15" customHeight="1" x14ac:dyDescent="0.25">
      <c r="A250" s="33"/>
      <c r="B250" s="4"/>
      <c r="C250" s="4"/>
      <c r="D250" s="4"/>
      <c r="E250" s="4"/>
      <c r="F250" s="102">
        <f>'Ввод данных'!E381</f>
        <v>400000</v>
      </c>
      <c r="G250" s="4"/>
      <c r="H250" s="4" t="s">
        <v>256</v>
      </c>
      <c r="I250" s="4"/>
    </row>
    <row r="251" spans="1:10" ht="15" customHeight="1" x14ac:dyDescent="0.25">
      <c r="A251" s="33"/>
      <c r="B251" s="4"/>
      <c r="C251" s="4"/>
      <c r="D251" s="4"/>
      <c r="E251" s="4" t="s">
        <v>6</v>
      </c>
      <c r="F251" s="102">
        <f>'Ввод данных'!E383</f>
        <v>220000</v>
      </c>
      <c r="G251" s="4"/>
      <c r="H251" s="4" t="s">
        <v>255</v>
      </c>
      <c r="I251" s="4"/>
    </row>
    <row r="252" spans="1:10" ht="15" customHeight="1" x14ac:dyDescent="0.25">
      <c r="A252" s="33"/>
      <c r="B252" s="4"/>
      <c r="C252" s="4"/>
      <c r="D252" s="12"/>
      <c r="E252" s="12" t="s">
        <v>2</v>
      </c>
      <c r="F252" s="106">
        <f>'Ввод данных'!E20</f>
        <v>11</v>
      </c>
      <c r="G252" s="60"/>
      <c r="H252" s="12" t="s">
        <v>158</v>
      </c>
      <c r="I252" s="12"/>
    </row>
    <row r="253" spans="1:10" ht="15" customHeight="1" x14ac:dyDescent="0.25">
      <c r="A253" s="33"/>
      <c r="B253" s="4"/>
      <c r="C253" s="4"/>
      <c r="D253" s="4"/>
      <c r="E253" s="14" t="s">
        <v>4</v>
      </c>
      <c r="F253" s="100">
        <f>ROUND((F250-F251)*(F252),2)/100</f>
        <v>19800</v>
      </c>
      <c r="G253" s="14"/>
      <c r="H253" s="14" t="s">
        <v>116</v>
      </c>
      <c r="I253" s="4"/>
    </row>
    <row r="254" spans="1:10" ht="15" customHeight="1" x14ac:dyDescent="0.25">
      <c r="A254" s="33"/>
      <c r="B254" s="4"/>
      <c r="C254" s="4"/>
      <c r="D254" s="4"/>
      <c r="E254" s="4"/>
      <c r="F254" s="105"/>
      <c r="G254" s="4"/>
      <c r="H254" s="4"/>
      <c r="I254" s="4"/>
    </row>
    <row r="255" spans="1:10" ht="15" customHeight="1" x14ac:dyDescent="0.25">
      <c r="A255" s="33"/>
      <c r="C255" s="14" t="s">
        <v>169</v>
      </c>
      <c r="D255" s="4"/>
      <c r="E255" s="4"/>
      <c r="F255" s="105"/>
      <c r="G255" s="4"/>
      <c r="H255" s="4"/>
      <c r="I255" s="4"/>
    </row>
    <row r="256" spans="1:10" ht="15" customHeight="1" x14ac:dyDescent="0.25">
      <c r="A256" s="33"/>
      <c r="B256" s="4"/>
      <c r="C256" s="4"/>
      <c r="D256" s="4"/>
      <c r="E256" s="4"/>
      <c r="F256" s="102">
        <f>'Ввод данных'!E378</f>
        <v>160000</v>
      </c>
      <c r="G256" s="4"/>
      <c r="H256" s="4" t="s">
        <v>177</v>
      </c>
      <c r="I256" s="4"/>
    </row>
    <row r="257" spans="1:12" ht="15" customHeight="1" x14ac:dyDescent="0.25">
      <c r="A257" s="33"/>
      <c r="B257" s="4"/>
      <c r="C257" s="4"/>
      <c r="D257" s="4"/>
      <c r="E257" s="12" t="s">
        <v>3</v>
      </c>
      <c r="F257" s="106">
        <f>'Ввод данных'!E14</f>
        <v>500</v>
      </c>
      <c r="G257" s="12"/>
      <c r="H257" s="12" t="s">
        <v>141</v>
      </c>
      <c r="I257" s="4"/>
    </row>
    <row r="258" spans="1:12" ht="15" customHeight="1" x14ac:dyDescent="0.25">
      <c r="A258" s="33"/>
      <c r="B258" s="4"/>
      <c r="C258" s="4"/>
      <c r="D258" s="4"/>
      <c r="E258" s="14" t="s">
        <v>4</v>
      </c>
      <c r="F258" s="100">
        <f>ROUND(F256/F257,2)</f>
        <v>320</v>
      </c>
      <c r="G258" s="14"/>
      <c r="H258" s="14" t="s">
        <v>116</v>
      </c>
      <c r="I258" s="4"/>
    </row>
    <row r="259" spans="1:12" ht="15" customHeight="1" x14ac:dyDescent="0.25">
      <c r="A259" s="33"/>
      <c r="B259" s="4"/>
      <c r="C259" s="4"/>
      <c r="D259" s="4"/>
      <c r="E259" s="4"/>
      <c r="F259" s="4"/>
      <c r="G259" s="4"/>
      <c r="H259" s="4"/>
      <c r="I259" s="4"/>
    </row>
    <row r="260" spans="1:12" ht="15" customHeight="1" x14ac:dyDescent="0.25">
      <c r="A260" s="33"/>
      <c r="C260" s="165" t="s">
        <v>239</v>
      </c>
      <c r="D260" s="88"/>
      <c r="E260" s="88"/>
      <c r="F260" s="88"/>
      <c r="G260" s="88"/>
      <c r="H260" s="88"/>
      <c r="I260" s="88"/>
    </row>
    <row r="261" spans="1:12" ht="15" customHeight="1" x14ac:dyDescent="0.25">
      <c r="A261" s="33"/>
      <c r="B261" s="4"/>
      <c r="C261" s="88"/>
      <c r="D261" s="88"/>
      <c r="E261" s="88"/>
      <c r="F261" s="88"/>
      <c r="G261" s="88"/>
      <c r="H261" s="88"/>
      <c r="I261" s="88"/>
    </row>
    <row r="262" spans="1:12" ht="15" customHeight="1" x14ac:dyDescent="0.25">
      <c r="A262" s="33"/>
      <c r="B262" s="4"/>
      <c r="C262" s="88"/>
      <c r="D262" s="88"/>
      <c r="E262" s="88"/>
      <c r="F262" s="146">
        <f>'Ввод данных'!E369</f>
        <v>27000000</v>
      </c>
      <c r="G262" s="88"/>
      <c r="H262" s="88" t="s">
        <v>338</v>
      </c>
      <c r="I262" s="88"/>
    </row>
    <row r="263" spans="1:12" ht="15" customHeight="1" x14ac:dyDescent="0.25">
      <c r="A263" s="33"/>
      <c r="B263" s="4"/>
      <c r="C263" s="88"/>
      <c r="D263" s="88"/>
      <c r="E263" s="206" t="s">
        <v>3</v>
      </c>
      <c r="F263" s="146">
        <v>7</v>
      </c>
      <c r="G263" s="206"/>
      <c r="H263" s="206" t="s">
        <v>337</v>
      </c>
      <c r="I263" s="88"/>
    </row>
    <row r="264" spans="1:12" ht="15" customHeight="1" x14ac:dyDescent="0.35">
      <c r="A264" s="33"/>
      <c r="B264" s="4"/>
      <c r="C264" s="88"/>
      <c r="D264" s="88"/>
      <c r="E264" s="90" t="s">
        <v>3</v>
      </c>
      <c r="F264" s="164">
        <f>F257</f>
        <v>500</v>
      </c>
      <c r="G264" s="207"/>
      <c r="H264" s="90" t="s">
        <v>141</v>
      </c>
      <c r="I264" s="88"/>
    </row>
    <row r="265" spans="1:12" ht="15" customHeight="1" x14ac:dyDescent="0.25">
      <c r="A265" s="33"/>
      <c r="B265" s="4"/>
      <c r="C265" s="88"/>
      <c r="D265" s="88"/>
      <c r="E265" s="150" t="s">
        <v>4</v>
      </c>
      <c r="F265" s="208">
        <f>F262/F263/F264</f>
        <v>7714.2857142857147</v>
      </c>
      <c r="G265" s="165"/>
      <c r="H265" s="207" t="s">
        <v>249</v>
      </c>
      <c r="I265" s="88"/>
    </row>
    <row r="266" spans="1:12" s="150" customFormat="1" ht="15" customHeight="1" x14ac:dyDescent="0.35">
      <c r="A266" s="163"/>
      <c r="B266" s="88"/>
      <c r="C266" s="88"/>
      <c r="D266" s="88"/>
      <c r="E266" s="90"/>
      <c r="F266" s="164"/>
      <c r="G266" s="165"/>
      <c r="H266" s="166"/>
      <c r="I266" s="88"/>
    </row>
    <row r="267" spans="1:12" s="150" customFormat="1" ht="15" customHeight="1" x14ac:dyDescent="0.25">
      <c r="A267" s="163"/>
      <c r="B267" s="88"/>
      <c r="C267" s="88"/>
      <c r="D267" s="88"/>
      <c r="E267" s="165"/>
      <c r="F267" s="157"/>
      <c r="G267" s="165"/>
      <c r="H267" s="165"/>
      <c r="I267" s="88"/>
    </row>
    <row r="268" spans="1:12" s="150" customFormat="1" ht="15" customHeight="1" x14ac:dyDescent="0.25">
      <c r="A268" s="163"/>
      <c r="B268" s="88"/>
      <c r="C268" s="88"/>
      <c r="D268" s="88"/>
      <c r="E268" s="165"/>
      <c r="F268" s="157"/>
      <c r="G268" s="165"/>
      <c r="H268" s="165"/>
      <c r="I268" s="88"/>
    </row>
    <row r="269" spans="1:12" ht="15" customHeight="1" x14ac:dyDescent="0.25">
      <c r="A269" s="33"/>
      <c r="B269" s="4"/>
      <c r="C269" s="4"/>
      <c r="D269" s="4"/>
      <c r="E269" s="14"/>
      <c r="F269" s="100"/>
      <c r="G269" s="14"/>
      <c r="H269" s="14"/>
      <c r="I269" s="4"/>
    </row>
    <row r="270" spans="1:12" ht="15" customHeight="1" x14ac:dyDescent="0.25">
      <c r="A270" s="33"/>
      <c r="B270" s="4"/>
      <c r="C270" s="4"/>
      <c r="D270" s="4"/>
      <c r="E270" s="4"/>
      <c r="F270" s="4"/>
      <c r="G270" s="4"/>
      <c r="H270" s="4"/>
      <c r="I270" s="4"/>
    </row>
    <row r="271" spans="1:12" ht="18.75" customHeight="1" x14ac:dyDescent="0.25">
      <c r="A271" s="33"/>
      <c r="B271" s="251" t="s">
        <v>89</v>
      </c>
      <c r="C271" s="252"/>
      <c r="D271" s="252"/>
      <c r="E271" s="252"/>
      <c r="F271" s="252"/>
      <c r="G271" s="252"/>
      <c r="H271" s="252"/>
      <c r="I271" s="252"/>
      <c r="L271" s="114"/>
    </row>
    <row r="272" spans="1:12" ht="15" customHeight="1" x14ac:dyDescent="0.25">
      <c r="A272" s="33"/>
      <c r="B272" s="4"/>
      <c r="C272" s="4"/>
      <c r="D272" s="4"/>
      <c r="E272" s="4"/>
      <c r="F272" s="4"/>
      <c r="G272" s="4"/>
      <c r="H272" s="4"/>
      <c r="I272" s="4"/>
      <c r="L272" s="114"/>
    </row>
    <row r="273" spans="1:9" ht="15" customHeight="1" x14ac:dyDescent="0.25">
      <c r="A273" s="33"/>
      <c r="B273" s="3" t="s">
        <v>304</v>
      </c>
      <c r="C273" s="3"/>
      <c r="D273" s="4"/>
      <c r="E273" s="4"/>
      <c r="F273" s="4"/>
      <c r="G273" s="4"/>
      <c r="H273" s="4"/>
      <c r="I273" s="4"/>
    </row>
    <row r="274" spans="1:9" ht="15" customHeight="1" x14ac:dyDescent="0.25">
      <c r="A274" s="33"/>
      <c r="B274" s="4" t="str">
        <f>'Ввод данных'!A388</f>
        <v xml:space="preserve">    Ветрозащитное ограждение</v>
      </c>
      <c r="C274" s="4"/>
      <c r="D274" s="4"/>
      <c r="E274" s="4"/>
      <c r="F274" s="61"/>
      <c r="G274" s="4"/>
      <c r="H274" s="102">
        <f>'Ввод данных'!D388</f>
        <v>10000000</v>
      </c>
    </row>
    <row r="275" spans="1:9" ht="15" customHeight="1" x14ac:dyDescent="0.25">
      <c r="A275" s="33"/>
      <c r="B275" s="4" t="str">
        <f>'Ввод данных'!A389</f>
        <v xml:space="preserve">    Ограждение откормочного загона</v>
      </c>
      <c r="C275" s="4"/>
      <c r="D275" s="4"/>
      <c r="E275" s="4"/>
      <c r="F275" s="61"/>
      <c r="G275" s="4"/>
      <c r="H275" s="102">
        <f>'Ввод данных'!D389</f>
        <v>5000000</v>
      </c>
    </row>
    <row r="276" spans="1:9" ht="15" customHeight="1" x14ac:dyDescent="0.25">
      <c r="A276" s="33"/>
      <c r="B276" s="4" t="str">
        <f>'Ввод данных'!A390</f>
        <v xml:space="preserve">    Навесы для телят</v>
      </c>
      <c r="C276" s="4"/>
      <c r="D276" s="4"/>
      <c r="E276" s="4"/>
      <c r="F276" s="61"/>
      <c r="G276" s="4"/>
      <c r="H276" s="102">
        <f>'Ввод данных'!D390</f>
        <v>2000000</v>
      </c>
    </row>
    <row r="277" spans="1:9" ht="15" customHeight="1" x14ac:dyDescent="0.25">
      <c r="A277" s="33"/>
      <c r="B277" s="4" t="str">
        <f>'Ввод данных'!A391</f>
        <v xml:space="preserve">    Стойла для быков-производителей (30 голов)</v>
      </c>
      <c r="C277" s="4"/>
      <c r="D277" s="4"/>
      <c r="E277" s="4"/>
      <c r="F277" s="61"/>
      <c r="G277" s="4"/>
      <c r="H277" s="102">
        <f>'Ввод данных'!D391</f>
        <v>5400000</v>
      </c>
    </row>
    <row r="278" spans="1:9" ht="15" customHeight="1" x14ac:dyDescent="0.25">
      <c r="A278" s="33"/>
      <c r="B278" s="4" t="str">
        <f>'Ввод данных'!A392</f>
        <v xml:space="preserve">    Отелочный блок</v>
      </c>
      <c r="C278" s="4"/>
      <c r="D278" s="4"/>
      <c r="E278" s="4"/>
      <c r="F278" s="61"/>
      <c r="G278" s="4"/>
      <c r="H278" s="102">
        <f>'Ввод данных'!D392</f>
        <v>4500000</v>
      </c>
    </row>
    <row r="279" spans="1:9" ht="15" customHeight="1" x14ac:dyDescent="0.25">
      <c r="A279" s="33"/>
      <c r="B279" s="4" t="str">
        <f>'Ввод данных'!A393</f>
        <v xml:space="preserve">    Поилки</v>
      </c>
      <c r="C279" s="4"/>
      <c r="D279" s="4"/>
      <c r="E279" s="4"/>
      <c r="F279" s="61"/>
      <c r="G279" s="4"/>
      <c r="H279" s="102">
        <f>'Ввод данных'!D393</f>
        <v>770000</v>
      </c>
    </row>
    <row r="280" spans="1:9" ht="15" customHeight="1" x14ac:dyDescent="0.25">
      <c r="A280" s="33"/>
      <c r="B280" s="4" t="str">
        <f>'Ввод данных'!A394</f>
        <v xml:space="preserve">    Сиситема полива пастбища</v>
      </c>
      <c r="C280" s="4"/>
      <c r="D280" s="4"/>
      <c r="E280" s="4"/>
      <c r="F280" s="61"/>
      <c r="G280" s="4"/>
      <c r="H280" s="102">
        <f>'Ввод данных'!D394</f>
        <v>616000</v>
      </c>
      <c r="I280" s="63"/>
    </row>
    <row r="281" spans="1:9" ht="31.5" customHeight="1" x14ac:dyDescent="0.25">
      <c r="A281" s="33"/>
      <c r="B281" s="256" t="str">
        <f>'Ввод данных'!A395</f>
        <v xml:space="preserve">    Водоснабжение, канализация, электричество (+ТП), дорога - к хозяйству</v>
      </c>
      <c r="C281" s="256"/>
      <c r="D281" s="256"/>
      <c r="E281" s="256"/>
      <c r="F281" s="256"/>
      <c r="G281" s="256"/>
      <c r="H281" s="102">
        <f>'Ввод данных'!D395</f>
        <v>10827500</v>
      </c>
    </row>
    <row r="282" spans="1:9" ht="15" customHeight="1" x14ac:dyDescent="0.25">
      <c r="A282" s="33"/>
      <c r="B282" s="4" t="str">
        <f>'Ввод данных'!A396</f>
        <v xml:space="preserve">    Заборы</v>
      </c>
      <c r="C282" s="4"/>
      <c r="D282" s="4"/>
      <c r="E282" s="4"/>
      <c r="F282" s="61"/>
      <c r="G282" s="4"/>
      <c r="H282" s="102">
        <f>'Ввод данных'!D396</f>
        <v>6000000</v>
      </c>
    </row>
    <row r="283" spans="1:9" ht="29.25" customHeight="1" x14ac:dyDescent="0.25">
      <c r="A283" s="33"/>
      <c r="B283" s="256" t="str">
        <f>'Ввод данных'!A397</f>
        <v xml:space="preserve">    Скважина+водонапорная башня+система водопровода</v>
      </c>
      <c r="C283" s="256"/>
      <c r="D283" s="256"/>
      <c r="E283" s="256"/>
      <c r="F283" s="256"/>
      <c r="G283" s="256"/>
      <c r="H283" s="102">
        <f>'Ввод данных'!D397</f>
        <v>4868500</v>
      </c>
    </row>
    <row r="284" spans="1:9" ht="15" customHeight="1" x14ac:dyDescent="0.25">
      <c r="A284" s="33"/>
      <c r="B284" s="4" t="str">
        <f>'Ввод данных'!A398</f>
        <v xml:space="preserve">    Дренажная система</v>
      </c>
      <c r="C284" s="4"/>
      <c r="D284" s="4"/>
      <c r="E284" s="4"/>
      <c r="F284" s="61"/>
      <c r="G284" s="4"/>
      <c r="H284" s="102">
        <f>'Ввод данных'!D398</f>
        <v>18574600</v>
      </c>
    </row>
    <row r="285" spans="1:9" ht="15" customHeight="1" x14ac:dyDescent="0.25">
      <c r="A285" s="33"/>
      <c r="B285" s="4" t="str">
        <f>'Ввод данных'!A399</f>
        <v xml:space="preserve">    Дороги внутри хозяйства</v>
      </c>
      <c r="C285" s="4"/>
      <c r="D285" s="4"/>
      <c r="E285" s="4"/>
      <c r="F285" s="61"/>
      <c r="G285" s="4"/>
      <c r="H285" s="102">
        <f>'Ввод данных'!D399</f>
        <v>5000000</v>
      </c>
    </row>
    <row r="286" spans="1:9" ht="15" customHeight="1" x14ac:dyDescent="0.25">
      <c r="A286" s="33"/>
      <c r="B286" s="4" t="str">
        <f>'Ввод данных'!A400</f>
        <v xml:space="preserve">    Контрольно-пропускной пункт</v>
      </c>
      <c r="C286" s="4"/>
      <c r="D286" s="4"/>
      <c r="E286" s="4"/>
      <c r="F286" s="61"/>
      <c r="G286" s="4"/>
      <c r="H286" s="102">
        <f>'Ввод данных'!D400</f>
        <v>2000000</v>
      </c>
    </row>
    <row r="287" spans="1:9" ht="15" customHeight="1" x14ac:dyDescent="0.25">
      <c r="A287" s="33"/>
      <c r="B287" s="4" t="str">
        <f>'Ввод данных'!A401</f>
        <v xml:space="preserve">    Въездной дезбарьер</v>
      </c>
      <c r="C287" s="4"/>
      <c r="D287" s="4"/>
      <c r="E287" s="4"/>
      <c r="F287" s="61"/>
      <c r="G287" s="4"/>
      <c r="H287" s="102">
        <f>'Ввод данных'!D401</f>
        <v>2000000</v>
      </c>
    </row>
    <row r="288" spans="1:9" ht="28.5" customHeight="1" x14ac:dyDescent="0.25">
      <c r="A288" s="33"/>
      <c r="B288" s="256" t="str">
        <f>'Ввод данных'!A402</f>
        <v xml:space="preserve">    Административно-подсобные здания с комнатами для персонала</v>
      </c>
      <c r="C288" s="256"/>
      <c r="D288" s="256"/>
      <c r="E288" s="256"/>
      <c r="F288" s="256"/>
      <c r="G288" s="256"/>
      <c r="H288" s="102">
        <f>'Ввод данных'!D402</f>
        <v>12000000</v>
      </c>
    </row>
    <row r="289" spans="1:9" ht="45.75" customHeight="1" x14ac:dyDescent="0.25">
      <c r="A289" s="33"/>
      <c r="B289" s="256" t="str">
        <f>'Ввод данных'!A403</f>
        <v xml:space="preserve">    Помещение (вет.пункт) для взвешивания искуственного осеменения,  вакцинирования и др.работы с КРС</v>
      </c>
      <c r="C289" s="256"/>
      <c r="D289" s="256"/>
      <c r="E289" s="256"/>
      <c r="F289" s="256"/>
      <c r="G289" s="256"/>
      <c r="H289" s="102">
        <f>'Ввод данных'!D403</f>
        <v>9000000</v>
      </c>
    </row>
    <row r="290" spans="1:9" ht="15" customHeight="1" x14ac:dyDescent="0.25">
      <c r="A290" s="33"/>
      <c r="B290" s="4" t="str">
        <f>'Ввод данных'!A404</f>
        <v xml:space="preserve">    Трехсторонние загоны</v>
      </c>
      <c r="C290" s="4"/>
      <c r="D290" s="4"/>
      <c r="E290" s="4"/>
      <c r="F290" s="61"/>
      <c r="G290" s="4"/>
      <c r="H290" s="102">
        <f>'Ввод данных'!D404</f>
        <v>33000000</v>
      </c>
    </row>
    <row r="291" spans="1:9" ht="15" customHeight="1" x14ac:dyDescent="0.25">
      <c r="A291" s="33"/>
      <c r="B291" s="4" t="str">
        <f>'Ввод данных'!A405</f>
        <v xml:space="preserve">    Площадка для погрузки/выгрузки и сортировки КРС</v>
      </c>
      <c r="C291" s="4"/>
      <c r="D291" s="4"/>
      <c r="E291" s="4"/>
      <c r="F291" s="61"/>
      <c r="G291" s="4"/>
      <c r="H291" s="102">
        <f>'Ввод данных'!D405</f>
        <v>1500000</v>
      </c>
    </row>
    <row r="292" spans="1:9" ht="28.5" customHeight="1" x14ac:dyDescent="0.25">
      <c r="A292" s="33"/>
      <c r="B292" s="256" t="str">
        <f>'Ввод данных'!A406</f>
        <v xml:space="preserve">    Ангар для с/х техники и вспомогат техники, с мастерской</v>
      </c>
      <c r="C292" s="256"/>
      <c r="D292" s="256"/>
      <c r="E292" s="256"/>
      <c r="F292" s="256"/>
      <c r="G292" s="256"/>
      <c r="H292" s="102">
        <f>'Ввод данных'!D406</f>
        <v>6384000</v>
      </c>
    </row>
    <row r="293" spans="1:9" ht="15" customHeight="1" x14ac:dyDescent="0.25">
      <c r="A293" s="33"/>
      <c r="B293" s="4" t="str">
        <f>'Ввод данных'!A407</f>
        <v xml:space="preserve">    Ангар для зерна и добавок</v>
      </c>
      <c r="C293" s="4"/>
      <c r="D293" s="4"/>
      <c r="E293" s="4"/>
      <c r="F293" s="61"/>
      <c r="G293" s="4"/>
      <c r="H293" s="102">
        <f>'Ввод данных'!D407</f>
        <v>5400000</v>
      </c>
    </row>
    <row r="294" spans="1:9" ht="30" customHeight="1" x14ac:dyDescent="0.25">
      <c r="A294" s="33"/>
      <c r="B294" s="256" t="str">
        <f>'Ввод данных'!A408</f>
        <v xml:space="preserve">    Площадка для хранения сена,   соломы, силоса, сенажа, приготовления кормов</v>
      </c>
      <c r="C294" s="256"/>
      <c r="D294" s="256"/>
      <c r="E294" s="256"/>
      <c r="F294" s="256"/>
      <c r="G294" s="256"/>
      <c r="H294" s="102">
        <f>'Ввод данных'!D408</f>
        <v>5200000</v>
      </c>
    </row>
    <row r="295" spans="1:9" ht="15" customHeight="1" x14ac:dyDescent="0.25">
      <c r="A295" s="33"/>
      <c r="B295" s="4" t="str">
        <f>'Ввод данных'!A409</f>
        <v xml:space="preserve">    Прочие постройки (введите)</v>
      </c>
      <c r="C295" s="4"/>
      <c r="D295" s="4"/>
      <c r="E295" s="4"/>
      <c r="F295" s="61"/>
      <c r="G295" s="4"/>
      <c r="H295" s="102">
        <f>'Ввод данных'!D409</f>
        <v>0</v>
      </c>
    </row>
    <row r="296" spans="1:9" ht="15" customHeight="1" x14ac:dyDescent="0.25">
      <c r="A296" s="33"/>
      <c r="B296" s="4" t="str">
        <f>'Ввод данных'!A410</f>
        <v xml:space="preserve">    Прочие постройки (введите)</v>
      </c>
      <c r="C296" s="4"/>
      <c r="D296" s="4"/>
      <c r="E296" s="4"/>
      <c r="F296" s="61"/>
      <c r="G296" s="4"/>
      <c r="H296" s="102">
        <f>'Ввод данных'!D410</f>
        <v>0</v>
      </c>
    </row>
    <row r="297" spans="1:9" ht="15" customHeight="1" x14ac:dyDescent="0.25">
      <c r="A297" s="33"/>
      <c r="B297" s="4" t="str">
        <f>'Ввод данных'!A411</f>
        <v xml:space="preserve">    Прочие постройки (введите)</v>
      </c>
      <c r="C297" s="4"/>
      <c r="D297" s="4"/>
      <c r="E297" s="4"/>
      <c r="F297" s="61"/>
      <c r="G297" s="4"/>
      <c r="H297" s="102">
        <f>'Ввод данных'!D411</f>
        <v>0</v>
      </c>
    </row>
    <row r="298" spans="1:9" ht="15" customHeight="1" x14ac:dyDescent="0.35">
      <c r="A298" s="33"/>
      <c r="B298" s="4" t="str">
        <f>'Ввод данных'!A412</f>
        <v xml:space="preserve">    Прочие постройки (введите)</v>
      </c>
      <c r="C298" s="4"/>
      <c r="D298" s="4"/>
      <c r="E298" s="4"/>
      <c r="F298" s="61"/>
      <c r="G298" s="4"/>
      <c r="H298" s="130">
        <f>'Ввод данных'!D412</f>
        <v>0</v>
      </c>
    </row>
    <row r="299" spans="1:9" ht="15" customHeight="1" x14ac:dyDescent="0.25">
      <c r="A299" s="33"/>
      <c r="B299" s="3" t="str">
        <f>'Ввод данных'!A413</f>
        <v xml:space="preserve">   Итого</v>
      </c>
      <c r="C299" s="3"/>
      <c r="D299" s="4"/>
      <c r="E299" s="4"/>
      <c r="F299" s="61"/>
      <c r="G299" s="4"/>
      <c r="H299" s="100">
        <f>SUM(H274:H284)</f>
        <v>68556600</v>
      </c>
    </row>
    <row r="300" spans="1:9" ht="15" customHeight="1" x14ac:dyDescent="0.25">
      <c r="A300" s="33"/>
      <c r="B300" s="4"/>
      <c r="C300" s="4"/>
      <c r="D300" s="4"/>
      <c r="E300" s="4"/>
      <c r="F300" s="61"/>
      <c r="G300" s="4"/>
      <c r="H300" s="105"/>
      <c r="I300" s="4"/>
    </row>
    <row r="301" spans="1:9" ht="15" customHeight="1" x14ac:dyDescent="0.25">
      <c r="A301" s="33"/>
      <c r="B301" s="3" t="s">
        <v>98</v>
      </c>
      <c r="C301" s="3"/>
      <c r="D301" s="4"/>
      <c r="E301" s="4"/>
      <c r="F301" s="61"/>
      <c r="G301" s="4"/>
      <c r="H301" s="105"/>
      <c r="I301" s="4"/>
    </row>
    <row r="302" spans="1:9" ht="17.25" customHeight="1" x14ac:dyDescent="0.25">
      <c r="A302" s="33"/>
      <c r="B302" s="4" t="str">
        <f>'Ввод данных'!A416</f>
        <v xml:space="preserve">    Самоходный смеситель-раздатчик-погрузчик</v>
      </c>
      <c r="C302" s="4"/>
      <c r="D302" s="4"/>
      <c r="E302" s="4"/>
      <c r="F302" s="61"/>
      <c r="G302" s="4"/>
      <c r="H302" s="102">
        <f>'Ввод данных'!D416</f>
        <v>32340000</v>
      </c>
    </row>
    <row r="303" spans="1:9" ht="15" customHeight="1" x14ac:dyDescent="0.25">
      <c r="A303" s="33"/>
      <c r="B303" s="4" t="str">
        <f>'Ввод данных'!A417</f>
        <v xml:space="preserve">    Прицеп для кормов</v>
      </c>
      <c r="C303" s="4"/>
      <c r="D303" s="4"/>
      <c r="E303" s="4"/>
      <c r="F303" s="61"/>
      <c r="G303" s="4"/>
      <c r="H303" s="102">
        <f>'Ввод данных'!D417</f>
        <v>11025000</v>
      </c>
    </row>
    <row r="304" spans="1:9" ht="15" customHeight="1" x14ac:dyDescent="0.25">
      <c r="A304" s="33"/>
      <c r="B304" s="4" t="str">
        <f>'Ввод данных'!A418</f>
        <v xml:space="preserve">    Очиститель для кормовых столиков</v>
      </c>
      <c r="C304" s="4"/>
      <c r="D304" s="4"/>
      <c r="E304" s="4"/>
      <c r="F304" s="61"/>
      <c r="G304" s="4"/>
      <c r="H304" s="102">
        <f>'Ввод данных'!D418</f>
        <v>1176000</v>
      </c>
    </row>
    <row r="305" spans="1:8" ht="15" customHeight="1" x14ac:dyDescent="0.25">
      <c r="A305" s="33"/>
      <c r="B305" s="4" t="str">
        <f>'Ввод данных'!A419</f>
        <v xml:space="preserve">    Погрузочная машина с задней разгрузкой</v>
      </c>
      <c r="C305" s="4"/>
      <c r="D305" s="4"/>
      <c r="E305" s="4"/>
      <c r="F305" s="61"/>
      <c r="G305" s="4"/>
      <c r="H305" s="102">
        <f>'Ввод данных'!D419</f>
        <v>5145000</v>
      </c>
    </row>
    <row r="306" spans="1:8" ht="15" customHeight="1" x14ac:dyDescent="0.25">
      <c r="A306" s="33"/>
      <c r="B306" s="4" t="str">
        <f>'Ввод данных'!A420</f>
        <v xml:space="preserve">    Телескопический погрузчик с навесным оборудованием</v>
      </c>
      <c r="C306" s="4"/>
      <c r="D306" s="4"/>
      <c r="E306" s="4"/>
      <c r="F306" s="61"/>
      <c r="G306" s="4"/>
      <c r="H306" s="102">
        <f>'Ввод данных'!D420</f>
        <v>17493000</v>
      </c>
    </row>
    <row r="307" spans="1:8" ht="15" customHeight="1" x14ac:dyDescent="0.25">
      <c r="A307" s="33"/>
      <c r="B307" s="4" t="str">
        <f>'Ввод данных'!A421</f>
        <v xml:space="preserve">    Скотовоз и Пикап</v>
      </c>
      <c r="C307" s="4"/>
      <c r="D307" s="4"/>
      <c r="E307" s="4"/>
      <c r="F307" s="61"/>
      <c r="G307" s="4"/>
      <c r="H307" s="102">
        <f>'Ввод данных'!D421</f>
        <v>9555000</v>
      </c>
    </row>
    <row r="308" spans="1:8" ht="15" customHeight="1" x14ac:dyDescent="0.25">
      <c r="A308" s="33"/>
      <c r="B308" s="4" t="str">
        <f>'Ввод данных'!A422</f>
        <v xml:space="preserve">    Скрейпер</v>
      </c>
      <c r="C308" s="4"/>
      <c r="D308" s="4"/>
      <c r="E308" s="4"/>
      <c r="F308" s="61"/>
      <c r="G308" s="4"/>
      <c r="H308" s="102">
        <f>'Ввод данных'!D422</f>
        <v>1323000</v>
      </c>
    </row>
    <row r="309" spans="1:8" ht="15" customHeight="1" x14ac:dyDescent="0.25">
      <c r="A309" s="33"/>
      <c r="B309" s="4" t="str">
        <f>'Ввод данных'!A423</f>
        <v xml:space="preserve">    Прессподборщик</v>
      </c>
      <c r="C309" s="4"/>
      <c r="D309" s="4"/>
      <c r="E309" s="4"/>
      <c r="F309" s="61"/>
      <c r="G309" s="4"/>
      <c r="H309" s="102">
        <f>'Ввод данных'!D423</f>
        <v>4410000</v>
      </c>
    </row>
    <row r="310" spans="1:8" ht="15" customHeight="1" x14ac:dyDescent="0.25">
      <c r="A310" s="33"/>
      <c r="B310" s="4" t="str">
        <f>'Ввод данных'!A424</f>
        <v xml:space="preserve">    Вездеход 4 ведущих</v>
      </c>
      <c r="C310" s="4"/>
      <c r="D310" s="4"/>
      <c r="E310" s="4"/>
      <c r="F310" s="61"/>
      <c r="G310" s="4"/>
      <c r="H310" s="102">
        <f>'Ввод данных'!D424</f>
        <v>3675000</v>
      </c>
    </row>
    <row r="311" spans="1:8" ht="15" customHeight="1" x14ac:dyDescent="0.25">
      <c r="A311" s="33"/>
      <c r="B311" s="4" t="str">
        <f>'Ввод данных'!A425</f>
        <v xml:space="preserve">    Трактор</v>
      </c>
      <c r="C311" s="4"/>
      <c r="D311" s="4"/>
      <c r="E311" s="4"/>
      <c r="F311" s="61"/>
      <c r="G311" s="4"/>
      <c r="H311" s="102">
        <f>'Ввод данных'!D425</f>
        <v>16464000</v>
      </c>
    </row>
    <row r="312" spans="1:8" ht="15" customHeight="1" x14ac:dyDescent="0.25">
      <c r="A312" s="33"/>
      <c r="B312" s="4" t="str">
        <f>'Ввод данных'!A426</f>
        <v xml:space="preserve">    100 КВ Набор генераторов</v>
      </c>
      <c r="C312" s="4"/>
      <c r="D312" s="4"/>
      <c r="E312" s="4"/>
      <c r="F312" s="61"/>
      <c r="G312" s="4"/>
      <c r="H312" s="102">
        <f>'Ввод данных'!D426</f>
        <v>5880000</v>
      </c>
    </row>
    <row r="313" spans="1:8" ht="15" customHeight="1" x14ac:dyDescent="0.25">
      <c r="A313" s="33"/>
      <c r="B313" s="4" t="str">
        <f>'Ввод данных'!A427</f>
        <v xml:space="preserve">     Измельчитель и разбрасыватель соломы</v>
      </c>
      <c r="C313" s="4"/>
      <c r="D313" s="4"/>
      <c r="E313" s="4"/>
      <c r="F313" s="61"/>
      <c r="G313" s="4"/>
      <c r="H313" s="102">
        <f>'Ввод данных'!D427</f>
        <v>2881000</v>
      </c>
    </row>
    <row r="314" spans="1:8" ht="15" customHeight="1" x14ac:dyDescent="0.25">
      <c r="A314" s="33"/>
      <c r="B314" s="4" t="str">
        <f>'Ввод данных'!A428</f>
        <v xml:space="preserve">    Загрузчик для трактора</v>
      </c>
      <c r="C314" s="4"/>
      <c r="D314" s="4"/>
      <c r="E314" s="4"/>
      <c r="F314" s="61"/>
      <c r="G314" s="4"/>
      <c r="H314" s="102">
        <f>'Ввод данных'!D428</f>
        <v>4410000</v>
      </c>
    </row>
    <row r="315" spans="1:8" ht="15" customHeight="1" x14ac:dyDescent="0.25">
      <c r="A315" s="33"/>
      <c r="B315" s="4" t="str">
        <f>'Ввод данных'!A429</f>
        <v xml:space="preserve">    Прочая техника (введите)</v>
      </c>
      <c r="C315" s="4"/>
      <c r="D315" s="4"/>
      <c r="E315" s="4"/>
      <c r="F315" s="61"/>
      <c r="G315" s="4"/>
      <c r="H315" s="102">
        <f>'Ввод данных'!D429</f>
        <v>0</v>
      </c>
    </row>
    <row r="316" spans="1:8" ht="15" customHeight="1" x14ac:dyDescent="0.25">
      <c r="A316" s="33"/>
      <c r="B316" s="4" t="str">
        <f>'Ввод данных'!A430</f>
        <v xml:space="preserve">    Прочая техника (введите)</v>
      </c>
      <c r="C316" s="4"/>
      <c r="D316" s="4"/>
      <c r="E316" s="4"/>
      <c r="F316" s="61"/>
      <c r="G316" s="4"/>
      <c r="H316" s="102">
        <f>'Ввод данных'!D430</f>
        <v>0</v>
      </c>
    </row>
    <row r="317" spans="1:8" ht="15" customHeight="1" x14ac:dyDescent="0.25">
      <c r="A317" s="33"/>
      <c r="B317" s="4" t="str">
        <f>'Ввод данных'!A431</f>
        <v xml:space="preserve">    Прочая техника (введите)</v>
      </c>
      <c r="C317" s="4"/>
      <c r="D317" s="4"/>
      <c r="E317" s="4"/>
      <c r="F317" s="61"/>
      <c r="G317" s="4"/>
      <c r="H317" s="102">
        <f>'Ввод данных'!D431</f>
        <v>0</v>
      </c>
    </row>
    <row r="318" spans="1:8" ht="15" customHeight="1" x14ac:dyDescent="0.25">
      <c r="A318" s="33"/>
      <c r="B318" s="4" t="str">
        <f>'Ввод данных'!A432</f>
        <v xml:space="preserve">    Прочая техника (введите)</v>
      </c>
      <c r="C318" s="4"/>
      <c r="D318" s="4"/>
      <c r="E318" s="4"/>
      <c r="F318" s="61"/>
      <c r="G318" s="4"/>
      <c r="H318" s="102">
        <f>'Ввод данных'!D432</f>
        <v>0</v>
      </c>
    </row>
    <row r="319" spans="1:8" ht="15" customHeight="1" x14ac:dyDescent="0.25">
      <c r="A319" s="33"/>
      <c r="B319" s="4" t="str">
        <f>'Ввод данных'!A433</f>
        <v xml:space="preserve">    Прочая техника (введите)</v>
      </c>
      <c r="C319" s="4"/>
      <c r="D319" s="4"/>
      <c r="E319" s="4"/>
      <c r="F319" s="61"/>
      <c r="G319" s="4"/>
      <c r="H319" s="102">
        <f>'Ввод данных'!D433</f>
        <v>0</v>
      </c>
    </row>
    <row r="320" spans="1:8" ht="15" customHeight="1" x14ac:dyDescent="0.35">
      <c r="A320" s="33"/>
      <c r="B320" s="4" t="str">
        <f>'Ввод данных'!A434</f>
        <v xml:space="preserve">    Прочая техника (введите)</v>
      </c>
      <c r="C320" s="4"/>
      <c r="D320" s="4"/>
      <c r="E320" s="4"/>
      <c r="F320" s="61"/>
      <c r="G320" s="4"/>
      <c r="H320" s="130">
        <f>'Ввод данных'!D434</f>
        <v>0</v>
      </c>
    </row>
    <row r="321" spans="1:9" ht="15" customHeight="1" x14ac:dyDescent="0.25">
      <c r="A321" s="33"/>
      <c r="B321" s="3" t="s">
        <v>179</v>
      </c>
      <c r="C321" s="4"/>
      <c r="D321" s="4"/>
      <c r="E321" s="4"/>
      <c r="F321" s="61"/>
      <c r="G321" s="4"/>
      <c r="H321" s="100">
        <f>SUM(H302:H320)</f>
        <v>115777000</v>
      </c>
    </row>
    <row r="322" spans="1:9" ht="15" customHeight="1" x14ac:dyDescent="0.25">
      <c r="A322" s="33"/>
      <c r="B322" s="4"/>
      <c r="C322" s="4"/>
      <c r="D322" s="4"/>
      <c r="E322" s="4"/>
      <c r="F322" s="61"/>
      <c r="G322" s="4"/>
      <c r="H322" s="105"/>
    </row>
    <row r="323" spans="1:9" ht="15" customHeight="1" x14ac:dyDescent="0.25">
      <c r="A323" s="33"/>
      <c r="B323" s="3" t="str">
        <f>'Ввод данных'!A436</f>
        <v xml:space="preserve">    Общая стом-ть зданий, техники</v>
      </c>
      <c r="C323" s="4"/>
      <c r="D323" s="4"/>
      <c r="E323" s="4"/>
      <c r="F323" s="61"/>
      <c r="G323" s="4"/>
      <c r="H323" s="100">
        <f>H299+H321</f>
        <v>184333600</v>
      </c>
    </row>
    <row r="324" spans="1:9" ht="15" customHeight="1" x14ac:dyDescent="0.25">
      <c r="A324" s="33"/>
      <c r="B324" s="73" t="str">
        <f>'Ввод данных'!A437</f>
        <v xml:space="preserve">       и оборудования</v>
      </c>
      <c r="C324" s="4"/>
      <c r="D324" s="4"/>
      <c r="E324" s="4"/>
      <c r="F324" s="61"/>
      <c r="G324" s="4"/>
      <c r="H324" s="105"/>
    </row>
    <row r="325" spans="1:9" ht="15" customHeight="1" x14ac:dyDescent="0.25">
      <c r="A325" s="33"/>
      <c r="B325" s="3" t="str">
        <f>'Ввод данных'!A438</f>
        <v xml:space="preserve">    Общая стоим-ть плем.стада</v>
      </c>
      <c r="C325" s="4"/>
      <c r="D325" s="4"/>
      <c r="E325" s="4"/>
      <c r="F325" s="61"/>
      <c r="G325" s="4"/>
      <c r="H325" s="100">
        <f>'Ввод данных'!D438</f>
        <v>187800000</v>
      </c>
    </row>
    <row r="326" spans="1:9" ht="15" customHeight="1" x14ac:dyDescent="0.25">
      <c r="A326" s="33"/>
      <c r="B326" s="4"/>
      <c r="C326" s="4"/>
      <c r="D326" s="4"/>
      <c r="E326" s="4"/>
      <c r="F326" s="61"/>
      <c r="G326" s="4"/>
      <c r="H326" s="105"/>
    </row>
    <row r="327" spans="1:9" ht="15" customHeight="1" x14ac:dyDescent="0.25">
      <c r="A327" s="33"/>
      <c r="B327" s="3" t="str">
        <f>'Ввод данных'!A440</f>
        <v xml:space="preserve">    Общие капитальные затраты</v>
      </c>
      <c r="C327" s="4"/>
      <c r="D327" s="4"/>
      <c r="E327" s="4"/>
      <c r="F327" s="61"/>
      <c r="G327" s="4"/>
      <c r="H327" s="100">
        <f>H323+H325</f>
        <v>372133600</v>
      </c>
    </row>
    <row r="328" spans="1:9" ht="15" customHeight="1" x14ac:dyDescent="0.25">
      <c r="A328" s="33"/>
      <c r="B328" s="4"/>
      <c r="C328" s="4"/>
      <c r="D328" s="4"/>
      <c r="E328" s="4"/>
      <c r="F328" s="4"/>
      <c r="G328" s="4"/>
      <c r="H328" s="11"/>
      <c r="I328" s="4"/>
    </row>
    <row r="329" spans="1:9" ht="15" customHeight="1" x14ac:dyDescent="0.25">
      <c r="A329" s="33"/>
      <c r="B329" s="4"/>
      <c r="C329" s="4"/>
      <c r="D329" s="4"/>
      <c r="E329" s="4"/>
      <c r="F329" s="4"/>
      <c r="G329" s="4"/>
      <c r="H329" s="4"/>
      <c r="I329" s="4"/>
    </row>
    <row r="330" spans="1:9" ht="15" customHeight="1" x14ac:dyDescent="0.25">
      <c r="A330" s="57"/>
      <c r="B330" s="3" t="s">
        <v>180</v>
      </c>
      <c r="C330" s="4"/>
      <c r="D330" s="4"/>
      <c r="E330" s="4"/>
      <c r="F330" s="4"/>
      <c r="G330" s="4"/>
      <c r="H330" s="4"/>
      <c r="I330" s="4"/>
    </row>
    <row r="331" spans="1:9" ht="15" customHeight="1" x14ac:dyDescent="0.25">
      <c r="A331" s="33"/>
      <c r="B331" s="14" t="s">
        <v>28</v>
      </c>
      <c r="C331" s="14"/>
      <c r="D331" s="4"/>
      <c r="E331" s="4"/>
      <c r="F331" s="253" t="s">
        <v>182</v>
      </c>
      <c r="G331" s="253"/>
      <c r="H331" s="253"/>
      <c r="I331" s="253"/>
    </row>
    <row r="332" spans="1:9" ht="15" customHeight="1" x14ac:dyDescent="0.25">
      <c r="A332" s="33"/>
      <c r="B332" s="14"/>
      <c r="C332" s="14"/>
      <c r="D332" s="4"/>
      <c r="E332" s="4"/>
      <c r="F332" s="254" t="s">
        <v>181</v>
      </c>
      <c r="G332" s="254"/>
      <c r="H332" s="254"/>
      <c r="I332" s="254"/>
    </row>
    <row r="333" spans="1:9" ht="15" customHeight="1" x14ac:dyDescent="0.25">
      <c r="A333" s="33"/>
      <c r="B333" s="14"/>
      <c r="C333" s="14"/>
      <c r="D333" s="4"/>
      <c r="E333" s="4"/>
      <c r="F333" s="27"/>
      <c r="G333" s="27"/>
      <c r="H333" s="27"/>
      <c r="I333" s="27"/>
    </row>
    <row r="334" spans="1:9" ht="15" customHeight="1" x14ac:dyDescent="0.25">
      <c r="A334" s="33"/>
      <c r="C334" s="14" t="s">
        <v>184</v>
      </c>
      <c r="D334" s="4"/>
      <c r="E334" s="4"/>
      <c r="F334" s="4"/>
      <c r="G334" s="4"/>
      <c r="H334" s="4"/>
      <c r="I334" s="4"/>
    </row>
    <row r="335" spans="1:9" ht="15" customHeight="1" x14ac:dyDescent="0.25">
      <c r="A335" s="33"/>
      <c r="B335" s="4"/>
      <c r="C335" s="4"/>
      <c r="D335" s="4"/>
      <c r="E335" s="4"/>
      <c r="F335" s="102">
        <f>'Ввод данных'!D413-'Ввод данных'!D394</f>
        <v>149424600</v>
      </c>
      <c r="G335" s="4"/>
      <c r="H335" s="4" t="s">
        <v>185</v>
      </c>
      <c r="I335" s="4"/>
    </row>
    <row r="336" spans="1:9" ht="15" customHeight="1" x14ac:dyDescent="0.25">
      <c r="A336" s="33"/>
      <c r="B336" s="4"/>
      <c r="C336" s="4"/>
      <c r="D336" s="4"/>
      <c r="E336" s="4" t="s">
        <v>6</v>
      </c>
      <c r="F336" s="102">
        <f>('Ввод данных'!F413/100)*'Ввод данных'!D413</f>
        <v>0</v>
      </c>
      <c r="G336" s="4"/>
      <c r="H336" s="4" t="s">
        <v>186</v>
      </c>
      <c r="I336" s="4"/>
    </row>
    <row r="337" spans="1:10" ht="15" customHeight="1" x14ac:dyDescent="0.25">
      <c r="A337" s="33"/>
      <c r="B337" s="4"/>
      <c r="C337" s="4"/>
      <c r="D337" s="4"/>
      <c r="E337" s="4" t="s">
        <v>3</v>
      </c>
      <c r="F337" s="102">
        <f>'Ввод данных'!H413</f>
        <v>20</v>
      </c>
      <c r="G337" s="4"/>
      <c r="H337" s="4" t="s">
        <v>187</v>
      </c>
      <c r="I337" s="4"/>
    </row>
    <row r="338" spans="1:10" ht="15" customHeight="1" x14ac:dyDescent="0.25">
      <c r="A338" s="33"/>
      <c r="B338" s="4"/>
      <c r="C338" s="4"/>
      <c r="D338" s="4"/>
      <c r="E338" s="12" t="s">
        <v>3</v>
      </c>
      <c r="F338" s="106">
        <f>'Ввод данных'!E14</f>
        <v>500</v>
      </c>
      <c r="G338" s="12"/>
      <c r="H338" s="12" t="s">
        <v>141</v>
      </c>
      <c r="I338" s="4"/>
    </row>
    <row r="339" spans="1:10" ht="15" customHeight="1" x14ac:dyDescent="0.25">
      <c r="A339" s="33"/>
      <c r="B339" s="4"/>
      <c r="C339" s="4"/>
      <c r="D339" s="4"/>
      <c r="E339" s="14" t="s">
        <v>4</v>
      </c>
      <c r="F339" s="100">
        <f>ROUND(((F335-F336)/F337)/F338,2)</f>
        <v>14942.46</v>
      </c>
      <c r="G339" s="14"/>
      <c r="H339" s="14" t="s">
        <v>116</v>
      </c>
      <c r="I339" s="4"/>
    </row>
    <row r="340" spans="1:10" ht="15" customHeight="1" x14ac:dyDescent="0.25">
      <c r="A340" s="33"/>
      <c r="B340" s="4"/>
      <c r="C340" s="4"/>
      <c r="D340" s="4"/>
      <c r="E340" s="4"/>
      <c r="F340" s="4"/>
      <c r="G340" s="4"/>
      <c r="H340" s="4"/>
      <c r="I340" s="4"/>
    </row>
    <row r="341" spans="1:10" ht="15" customHeight="1" x14ac:dyDescent="0.25">
      <c r="A341" s="33"/>
      <c r="C341" s="14" t="s">
        <v>183</v>
      </c>
      <c r="D341" s="4"/>
      <c r="E341" s="4"/>
      <c r="F341" s="4"/>
      <c r="G341" s="4"/>
      <c r="H341" s="4"/>
      <c r="I341" s="4"/>
    </row>
    <row r="342" spans="1:10" ht="15" customHeight="1" x14ac:dyDescent="0.25">
      <c r="A342" s="33"/>
      <c r="B342" s="4"/>
      <c r="C342" s="4"/>
      <c r="D342" s="4"/>
      <c r="E342" s="4"/>
      <c r="F342" s="102">
        <f>'Ввод данных'!D435</f>
        <v>115777000</v>
      </c>
      <c r="G342" s="4"/>
      <c r="H342" s="4" t="s">
        <v>185</v>
      </c>
      <c r="I342" s="4"/>
    </row>
    <row r="343" spans="1:10" ht="15" customHeight="1" x14ac:dyDescent="0.25">
      <c r="A343" s="33"/>
      <c r="B343" s="4"/>
      <c r="C343" s="4"/>
      <c r="D343" s="4"/>
      <c r="E343" s="4" t="s">
        <v>6</v>
      </c>
      <c r="F343" s="102">
        <f>F342*'Ввод данных'!F416/100</f>
        <v>23155400</v>
      </c>
      <c r="G343" s="4"/>
      <c r="H343" s="4" t="s">
        <v>186</v>
      </c>
      <c r="I343" s="4"/>
    </row>
    <row r="344" spans="1:10" ht="15" customHeight="1" x14ac:dyDescent="0.25">
      <c r="A344" s="33"/>
      <c r="B344" s="4"/>
      <c r="C344" s="4"/>
      <c r="D344" s="4"/>
      <c r="E344" s="4" t="s">
        <v>3</v>
      </c>
      <c r="F344" s="102">
        <f>'Ввод данных'!H416</f>
        <v>10</v>
      </c>
      <c r="G344" s="4"/>
      <c r="H344" s="4" t="s">
        <v>187</v>
      </c>
      <c r="I344" s="4"/>
    </row>
    <row r="345" spans="1:10" ht="15" customHeight="1" x14ac:dyDescent="0.25">
      <c r="A345" s="33"/>
      <c r="B345" s="4"/>
      <c r="C345" s="4"/>
      <c r="D345" s="4"/>
      <c r="E345" s="12" t="s">
        <v>3</v>
      </c>
      <c r="F345" s="106">
        <f>'Ввод данных'!E14</f>
        <v>500</v>
      </c>
      <c r="G345" s="12"/>
      <c r="H345" s="12" t="s">
        <v>141</v>
      </c>
      <c r="I345" s="4"/>
    </row>
    <row r="346" spans="1:10" ht="15" customHeight="1" x14ac:dyDescent="0.25">
      <c r="A346" s="33"/>
      <c r="B346" s="4"/>
      <c r="C346" s="4"/>
      <c r="D346" s="4"/>
      <c r="E346" s="3" t="s">
        <v>4</v>
      </c>
      <c r="F346" s="100">
        <f>ROUND(((F342-F343)/F344)/F345,2)</f>
        <v>18524.32</v>
      </c>
      <c r="G346" s="3"/>
      <c r="H346" s="14" t="s">
        <v>116</v>
      </c>
      <c r="I346" s="4"/>
    </row>
    <row r="347" spans="1:10" ht="15" customHeight="1" x14ac:dyDescent="0.25">
      <c r="A347" s="33"/>
      <c r="B347" s="4"/>
      <c r="C347" s="4"/>
      <c r="D347" s="4"/>
      <c r="E347" s="4"/>
      <c r="F347" s="4"/>
      <c r="G347" s="4"/>
      <c r="H347" s="4" t="s">
        <v>0</v>
      </c>
      <c r="I347" s="4"/>
    </row>
    <row r="348" spans="1:10" ht="15" customHeight="1" x14ac:dyDescent="0.25">
      <c r="A348" s="33"/>
      <c r="B348" s="14" t="s">
        <v>31</v>
      </c>
      <c r="C348" s="14"/>
      <c r="D348" s="4"/>
      <c r="E348" s="4"/>
      <c r="F348" s="244" t="s">
        <v>248</v>
      </c>
      <c r="G348" s="245"/>
      <c r="H348" s="245"/>
      <c r="I348" s="245"/>
    </row>
    <row r="349" spans="1:10" ht="15" customHeight="1" x14ac:dyDescent="0.25">
      <c r="A349" s="33"/>
      <c r="B349" s="14"/>
      <c r="C349" s="14"/>
      <c r="D349" s="4"/>
      <c r="E349" s="4"/>
      <c r="F349" s="64"/>
      <c r="G349" s="65" t="s">
        <v>7</v>
      </c>
      <c r="H349" s="64"/>
      <c r="I349" s="64"/>
    </row>
    <row r="350" spans="1:10" ht="15" customHeight="1" x14ac:dyDescent="0.25">
      <c r="A350" s="33"/>
      <c r="C350" s="14" t="s">
        <v>202</v>
      </c>
      <c r="D350" s="4"/>
      <c r="E350" s="4"/>
      <c r="F350" s="4"/>
      <c r="G350" s="4"/>
      <c r="H350" s="4"/>
      <c r="I350" s="4"/>
    </row>
    <row r="351" spans="1:10" ht="15" customHeight="1" x14ac:dyDescent="0.25">
      <c r="A351" s="33"/>
      <c r="B351" s="4"/>
      <c r="C351" s="4"/>
      <c r="D351" s="4"/>
      <c r="E351" s="4"/>
      <c r="F351" s="102">
        <f>F335</f>
        <v>149424600</v>
      </c>
      <c r="G351" s="4"/>
      <c r="H351" s="4" t="s">
        <v>185</v>
      </c>
      <c r="I351" s="4"/>
    </row>
    <row r="352" spans="1:10" ht="15" customHeight="1" x14ac:dyDescent="0.25">
      <c r="A352" s="33"/>
      <c r="B352" s="4"/>
      <c r="C352" s="4"/>
      <c r="D352" s="4"/>
      <c r="E352" s="4" t="s">
        <v>5</v>
      </c>
      <c r="F352" s="102">
        <f>F336</f>
        <v>0</v>
      </c>
      <c r="G352" s="4"/>
      <c r="H352" s="4" t="s">
        <v>186</v>
      </c>
      <c r="I352" s="4"/>
      <c r="J352" s="114"/>
    </row>
    <row r="353" spans="1:9" ht="15" customHeight="1" x14ac:dyDescent="0.25">
      <c r="A353" s="33"/>
      <c r="B353" s="4"/>
      <c r="C353" s="4"/>
      <c r="D353" s="4"/>
      <c r="E353" s="4" t="s">
        <v>3</v>
      </c>
      <c r="F353" s="102">
        <v>2</v>
      </c>
      <c r="G353" s="4"/>
      <c r="H353" s="4" t="s">
        <v>159</v>
      </c>
      <c r="I353" s="4"/>
    </row>
    <row r="354" spans="1:9" ht="15" customHeight="1" x14ac:dyDescent="0.25">
      <c r="A354" s="33"/>
      <c r="B354" s="4"/>
      <c r="C354" s="4"/>
      <c r="D354" s="4"/>
      <c r="E354" s="4" t="s">
        <v>2</v>
      </c>
      <c r="F354" s="138">
        <f>'Ввод данных'!E371</f>
        <v>2.5</v>
      </c>
      <c r="G354" s="4"/>
      <c r="H354" s="88" t="s">
        <v>247</v>
      </c>
      <c r="I354" s="4"/>
    </row>
    <row r="355" spans="1:9" ht="15" customHeight="1" x14ac:dyDescent="0.25">
      <c r="A355" s="33"/>
      <c r="B355" s="4"/>
      <c r="C355" s="4"/>
      <c r="D355" s="4"/>
      <c r="E355" s="12" t="s">
        <v>3</v>
      </c>
      <c r="F355" s="106">
        <f>'Ввод данных'!E14</f>
        <v>500</v>
      </c>
      <c r="G355" s="12"/>
      <c r="H355" s="12" t="s">
        <v>141</v>
      </c>
      <c r="I355" s="4"/>
    </row>
    <row r="356" spans="1:9" ht="15" customHeight="1" x14ac:dyDescent="0.25">
      <c r="A356" s="33"/>
      <c r="B356" s="4"/>
      <c r="C356" s="4"/>
      <c r="D356" s="4"/>
      <c r="E356" s="14" t="s">
        <v>4</v>
      </c>
      <c r="F356" s="100">
        <f>ROUND(((F351+F352)/F353*(F354))/F355,2)/100</f>
        <v>3735.6149999999998</v>
      </c>
      <c r="G356" s="14"/>
      <c r="H356" s="14" t="s">
        <v>116</v>
      </c>
      <c r="I356" s="4"/>
    </row>
    <row r="357" spans="1:9" ht="15" customHeight="1" x14ac:dyDescent="0.25">
      <c r="A357" s="33"/>
      <c r="B357" s="4"/>
      <c r="C357" s="4"/>
      <c r="D357" s="4"/>
      <c r="E357" s="4"/>
      <c r="F357" s="4"/>
      <c r="G357" s="4"/>
      <c r="H357" s="4"/>
      <c r="I357" s="4"/>
    </row>
    <row r="358" spans="1:9" ht="15" customHeight="1" x14ac:dyDescent="0.25">
      <c r="A358" s="33"/>
      <c r="C358" s="14" t="s">
        <v>170</v>
      </c>
      <c r="D358" s="4"/>
      <c r="E358" s="4"/>
      <c r="F358" s="4"/>
      <c r="G358" s="4"/>
      <c r="H358" s="4"/>
      <c r="I358" s="4"/>
    </row>
    <row r="359" spans="1:9" ht="15" customHeight="1" x14ac:dyDescent="0.25">
      <c r="A359" s="33"/>
      <c r="B359" s="4"/>
      <c r="C359" s="4"/>
      <c r="D359" s="4"/>
      <c r="E359" s="4"/>
      <c r="F359" s="102">
        <f>F342</f>
        <v>115777000</v>
      </c>
      <c r="G359" s="4"/>
      <c r="H359" s="4" t="s">
        <v>185</v>
      </c>
      <c r="I359" s="4"/>
    </row>
    <row r="360" spans="1:9" ht="15" customHeight="1" x14ac:dyDescent="0.25">
      <c r="A360" s="33"/>
      <c r="B360" s="4"/>
      <c r="C360" s="4"/>
      <c r="D360" s="4"/>
      <c r="E360" s="4" t="s">
        <v>5</v>
      </c>
      <c r="F360" s="102">
        <f>F359*'Ввод данных'!F417/100</f>
        <v>23155400</v>
      </c>
      <c r="G360" s="4"/>
      <c r="H360" s="4" t="s">
        <v>186</v>
      </c>
      <c r="I360" s="4"/>
    </row>
    <row r="361" spans="1:9" ht="15" customHeight="1" x14ac:dyDescent="0.25">
      <c r="A361" s="33"/>
      <c r="B361" s="4"/>
      <c r="C361" s="4"/>
      <c r="D361" s="4"/>
      <c r="E361" s="4" t="s">
        <v>3</v>
      </c>
      <c r="F361" s="102">
        <v>2</v>
      </c>
      <c r="G361" s="4"/>
      <c r="H361" s="4" t="s">
        <v>159</v>
      </c>
      <c r="I361" s="4"/>
    </row>
    <row r="362" spans="1:9" ht="15" customHeight="1" x14ac:dyDescent="0.25">
      <c r="A362" s="33"/>
      <c r="B362" s="4"/>
      <c r="C362" s="4"/>
      <c r="D362" s="4"/>
      <c r="E362" s="4" t="s">
        <v>2</v>
      </c>
      <c r="F362" s="138">
        <f>'Ввод данных'!E371</f>
        <v>2.5</v>
      </c>
      <c r="G362" s="4"/>
      <c r="H362" s="88" t="s">
        <v>247</v>
      </c>
      <c r="I362" s="4"/>
    </row>
    <row r="363" spans="1:9" ht="15" customHeight="1" x14ac:dyDescent="0.25">
      <c r="A363" s="33"/>
      <c r="B363" s="4"/>
      <c r="C363" s="4"/>
      <c r="D363" s="4"/>
      <c r="E363" s="12" t="s">
        <v>3</v>
      </c>
      <c r="F363" s="106">
        <f>'Ввод данных'!E14</f>
        <v>500</v>
      </c>
      <c r="G363" s="12"/>
      <c r="H363" s="12" t="s">
        <v>141</v>
      </c>
      <c r="I363" s="4"/>
    </row>
    <row r="364" spans="1:9" ht="15" customHeight="1" x14ac:dyDescent="0.25">
      <c r="A364" s="33"/>
      <c r="B364" s="4"/>
      <c r="C364" s="4"/>
      <c r="D364" s="4"/>
      <c r="E364" s="3" t="s">
        <v>4</v>
      </c>
      <c r="F364" s="100">
        <f>ROUND((((F359+F360)/F361)*(F362))/F363,2)/100</f>
        <v>3473.31</v>
      </c>
      <c r="G364" s="3"/>
      <c r="H364" s="14" t="s">
        <v>116</v>
      </c>
      <c r="I364" s="4"/>
    </row>
    <row r="365" spans="1:9" ht="15" customHeight="1" x14ac:dyDescent="0.25">
      <c r="A365" s="33"/>
      <c r="B365" s="4"/>
      <c r="C365" s="4"/>
      <c r="D365" s="4"/>
      <c r="E365" s="4"/>
      <c r="F365" s="4"/>
      <c r="G365" s="4"/>
      <c r="H365" s="4"/>
      <c r="I365" s="4"/>
    </row>
    <row r="366" spans="1:9" ht="15" customHeight="1" x14ac:dyDescent="0.25">
      <c r="A366" s="33"/>
      <c r="C366" s="14" t="s">
        <v>188</v>
      </c>
      <c r="D366" s="4"/>
      <c r="E366" s="4"/>
      <c r="F366" s="4"/>
      <c r="G366" s="4"/>
      <c r="H366" s="4"/>
      <c r="I366" s="4"/>
    </row>
    <row r="367" spans="1:9" ht="15" customHeight="1" x14ac:dyDescent="0.25">
      <c r="A367" s="33"/>
      <c r="B367" s="4"/>
      <c r="C367" s="4"/>
      <c r="D367" s="4"/>
      <c r="E367" s="4"/>
      <c r="F367" s="146">
        <f>'Ввод данных'!E382</f>
        <v>365000</v>
      </c>
      <c r="G367" s="4"/>
      <c r="H367" s="4" t="s">
        <v>116</v>
      </c>
      <c r="I367" s="4"/>
    </row>
    <row r="368" spans="1:9" ht="15" customHeight="1" x14ac:dyDescent="0.35">
      <c r="A368" s="33"/>
      <c r="B368" s="4"/>
      <c r="C368" s="4"/>
      <c r="D368" s="4"/>
      <c r="E368" s="12" t="s">
        <v>2</v>
      </c>
      <c r="F368" s="139">
        <f>'Ввод данных'!E371</f>
        <v>2.5</v>
      </c>
      <c r="G368" s="58"/>
      <c r="H368" s="4" t="s">
        <v>247</v>
      </c>
      <c r="I368" s="4"/>
    </row>
    <row r="369" spans="1:9" ht="15" customHeight="1" x14ac:dyDescent="0.25">
      <c r="A369" s="33"/>
      <c r="B369" s="4"/>
      <c r="C369" s="4"/>
      <c r="D369" s="4"/>
      <c r="E369" s="14" t="s">
        <v>4</v>
      </c>
      <c r="F369" s="157">
        <f>F367*F368/100</f>
        <v>9125</v>
      </c>
      <c r="G369" s="14"/>
      <c r="H369" s="14" t="s">
        <v>116</v>
      </c>
      <c r="I369" s="4"/>
    </row>
    <row r="370" spans="1:9" ht="15" customHeight="1" x14ac:dyDescent="0.25">
      <c r="A370" s="33"/>
      <c r="B370" s="4"/>
      <c r="C370" s="4"/>
      <c r="D370" s="4"/>
      <c r="E370" s="4"/>
      <c r="F370" s="4"/>
      <c r="G370" s="4"/>
      <c r="H370" s="4"/>
      <c r="I370" s="4"/>
    </row>
    <row r="371" spans="1:9" ht="15" customHeight="1" x14ac:dyDescent="0.25">
      <c r="A371" s="33"/>
      <c r="C371" s="14" t="s">
        <v>189</v>
      </c>
      <c r="D371" s="4"/>
      <c r="E371" s="4"/>
      <c r="F371" s="4"/>
      <c r="G371" s="4"/>
      <c r="H371" s="4"/>
      <c r="I371" s="4"/>
    </row>
    <row r="372" spans="1:9" ht="15" customHeight="1" x14ac:dyDescent="0.25">
      <c r="A372" s="33"/>
      <c r="B372" s="4"/>
      <c r="C372" s="4"/>
      <c r="D372" s="4"/>
      <c r="E372" s="4"/>
      <c r="F372" s="4"/>
      <c r="G372" s="4"/>
      <c r="H372" s="4"/>
      <c r="I372" s="4"/>
    </row>
    <row r="373" spans="1:9" ht="15" customHeight="1" x14ac:dyDescent="0.25">
      <c r="A373" s="33"/>
      <c r="C373" s="3"/>
      <c r="D373" s="4"/>
      <c r="E373" s="4"/>
      <c r="F373" s="4"/>
      <c r="G373" s="4"/>
      <c r="H373" s="4"/>
      <c r="I373" s="4"/>
    </row>
    <row r="374" spans="1:9" ht="15" customHeight="1" x14ac:dyDescent="0.25">
      <c r="A374" s="33"/>
      <c r="C374" s="3" t="s">
        <v>191</v>
      </c>
      <c r="D374" s="4"/>
      <c r="E374" s="4"/>
      <c r="F374" s="4"/>
      <c r="G374" s="4"/>
      <c r="H374" s="4"/>
      <c r="I374" s="4"/>
    </row>
    <row r="375" spans="1:9" ht="15" customHeight="1" x14ac:dyDescent="0.25">
      <c r="A375" s="33"/>
      <c r="B375" s="4"/>
      <c r="C375" s="61" t="s">
        <v>190</v>
      </c>
      <c r="D375" s="4"/>
      <c r="E375" s="4"/>
      <c r="F375" s="4"/>
      <c r="G375" s="4"/>
      <c r="H375" s="4"/>
      <c r="I375" s="4"/>
    </row>
    <row r="376" spans="1:9" ht="15" customHeight="1" x14ac:dyDescent="0.25">
      <c r="A376" s="33"/>
      <c r="B376" s="4"/>
      <c r="D376" s="4"/>
      <c r="E376" s="4"/>
      <c r="F376" s="102">
        <f>'Ввод данных'!D394+'Ввод данных'!D395</f>
        <v>11443500</v>
      </c>
      <c r="G376" s="4"/>
      <c r="H376" s="4" t="s">
        <v>194</v>
      </c>
      <c r="I376" s="4"/>
    </row>
    <row r="377" spans="1:9" ht="15" customHeight="1" x14ac:dyDescent="0.25">
      <c r="A377" s="33"/>
      <c r="B377" s="4"/>
      <c r="C377" s="4"/>
      <c r="D377" s="4"/>
      <c r="E377" s="4" t="s">
        <v>6</v>
      </c>
      <c r="F377" s="102">
        <f>'Ввод данных'!F394</f>
        <v>0</v>
      </c>
      <c r="G377" s="4"/>
      <c r="H377" s="4" t="s">
        <v>192</v>
      </c>
      <c r="I377" s="4"/>
    </row>
    <row r="378" spans="1:9" ht="15" customHeight="1" x14ac:dyDescent="0.25">
      <c r="A378" s="33"/>
      <c r="B378" s="4"/>
      <c r="C378" s="4"/>
      <c r="D378" s="4"/>
      <c r="E378" s="4" t="s">
        <v>3</v>
      </c>
      <c r="F378" s="105">
        <f>'Ввод данных'!H394</f>
        <v>20</v>
      </c>
      <c r="G378" s="4"/>
      <c r="H378" s="4" t="s">
        <v>193</v>
      </c>
      <c r="I378" s="4"/>
    </row>
    <row r="379" spans="1:9" ht="15" customHeight="1" x14ac:dyDescent="0.25">
      <c r="A379" s="33"/>
      <c r="B379" s="4"/>
      <c r="C379" s="4"/>
      <c r="D379" s="4"/>
      <c r="E379" s="12" t="s">
        <v>3</v>
      </c>
      <c r="F379" s="106">
        <f>'Ввод данных'!E14</f>
        <v>500</v>
      </c>
      <c r="G379" s="4"/>
      <c r="H379" s="12" t="s">
        <v>141</v>
      </c>
      <c r="I379" s="4"/>
    </row>
    <row r="380" spans="1:9" ht="15" customHeight="1" x14ac:dyDescent="0.25">
      <c r="A380" s="33"/>
      <c r="B380" s="4"/>
      <c r="C380" s="4"/>
      <c r="D380" s="4"/>
      <c r="E380" s="4" t="s">
        <v>4</v>
      </c>
      <c r="F380" s="105">
        <f>ROUND(((F376-F377)/F378)/F379,2)</f>
        <v>1144.3499999999999</v>
      </c>
      <c r="G380" s="4"/>
      <c r="H380" s="4" t="s">
        <v>116</v>
      </c>
      <c r="I380" s="4"/>
    </row>
    <row r="381" spans="1:9" ht="15" customHeight="1" x14ac:dyDescent="0.25">
      <c r="A381" s="33"/>
      <c r="B381" s="4"/>
      <c r="C381" s="4"/>
      <c r="D381" s="4"/>
      <c r="E381" s="4"/>
      <c r="F381" s="21"/>
      <c r="G381" s="4"/>
      <c r="H381" s="4"/>
      <c r="I381" s="4"/>
    </row>
    <row r="382" spans="1:9" ht="15" customHeight="1" x14ac:dyDescent="0.25">
      <c r="A382" s="33"/>
      <c r="B382" s="4"/>
      <c r="C382" s="4" t="s">
        <v>195</v>
      </c>
      <c r="D382" s="4"/>
      <c r="E382" s="4" t="s">
        <v>4</v>
      </c>
      <c r="F382" s="105">
        <f>F380</f>
        <v>1144.3499999999999</v>
      </c>
      <c r="G382" s="4"/>
      <c r="H382" s="4" t="s">
        <v>116</v>
      </c>
      <c r="I382" s="4"/>
    </row>
    <row r="383" spans="1:9" ht="15" customHeight="1" x14ac:dyDescent="0.25">
      <c r="A383" s="33"/>
      <c r="B383" s="4"/>
      <c r="C383" s="4"/>
      <c r="D383" s="4"/>
      <c r="E383" s="4"/>
      <c r="F383" s="21"/>
      <c r="G383" s="4"/>
      <c r="H383" s="4"/>
      <c r="I383" s="4"/>
    </row>
    <row r="384" spans="1:9" ht="15" customHeight="1" x14ac:dyDescent="0.25">
      <c r="A384" s="33"/>
      <c r="C384" s="3" t="s">
        <v>196</v>
      </c>
      <c r="D384" s="4"/>
      <c r="E384" s="4"/>
      <c r="F384" s="4"/>
      <c r="G384" s="4"/>
      <c r="H384" s="4"/>
      <c r="I384" s="4"/>
    </row>
    <row r="385" spans="1:9" ht="15" customHeight="1" x14ac:dyDescent="0.25">
      <c r="A385" s="33"/>
      <c r="B385" s="4"/>
      <c r="C385" s="61" t="s">
        <v>190</v>
      </c>
      <c r="D385" s="4"/>
      <c r="E385" s="4"/>
      <c r="F385" s="59"/>
      <c r="G385" s="4"/>
      <c r="H385" s="4"/>
      <c r="I385" s="4"/>
    </row>
    <row r="386" spans="1:9" ht="15" customHeight="1" x14ac:dyDescent="0.25">
      <c r="A386" s="33"/>
      <c r="B386" s="4"/>
      <c r="D386" s="4"/>
      <c r="E386" s="4"/>
      <c r="F386" s="102">
        <f>'Ввод данных'!D394+'Ввод данных'!D395</f>
        <v>11443500</v>
      </c>
      <c r="G386" s="4"/>
      <c r="H386" s="4" t="s">
        <v>194</v>
      </c>
      <c r="I386" s="4"/>
    </row>
    <row r="387" spans="1:9" ht="15" customHeight="1" x14ac:dyDescent="0.25">
      <c r="A387" s="33"/>
      <c r="B387" s="4"/>
      <c r="D387" s="4"/>
      <c r="E387" s="4" t="s">
        <v>5</v>
      </c>
      <c r="F387" s="102">
        <f>'Ввод данных'!F394</f>
        <v>0</v>
      </c>
      <c r="G387" s="4"/>
      <c r="H387" s="4" t="s">
        <v>192</v>
      </c>
      <c r="I387" s="4"/>
    </row>
    <row r="388" spans="1:9" ht="15" customHeight="1" x14ac:dyDescent="0.25">
      <c r="A388" s="33"/>
      <c r="B388" s="4"/>
      <c r="D388" s="4"/>
      <c r="E388" s="60" t="s">
        <v>3</v>
      </c>
      <c r="F388" s="127">
        <v>2</v>
      </c>
      <c r="H388" s="4" t="s">
        <v>159</v>
      </c>
    </row>
    <row r="389" spans="1:9" ht="15" customHeight="1" x14ac:dyDescent="0.25">
      <c r="A389" s="33"/>
      <c r="B389" s="4"/>
      <c r="D389" s="4"/>
      <c r="E389" s="60" t="s">
        <v>2</v>
      </c>
      <c r="F389" s="138">
        <f>'Ввод данных'!E371</f>
        <v>2.5</v>
      </c>
      <c r="G389" s="4"/>
      <c r="H389" s="88" t="s">
        <v>247</v>
      </c>
      <c r="I389" s="4"/>
    </row>
    <row r="390" spans="1:9" ht="15" customHeight="1" x14ac:dyDescent="0.25">
      <c r="A390" s="33"/>
      <c r="B390" s="4"/>
      <c r="D390" s="4"/>
      <c r="E390" s="12" t="s">
        <v>3</v>
      </c>
      <c r="F390" s="106">
        <f>'Ввод данных'!$E$14</f>
        <v>500</v>
      </c>
      <c r="G390" s="6"/>
      <c r="H390" s="12" t="s">
        <v>141</v>
      </c>
      <c r="I390" s="4"/>
    </row>
    <row r="391" spans="1:9" ht="15" customHeight="1" x14ac:dyDescent="0.25">
      <c r="A391" s="33"/>
      <c r="B391" s="4"/>
      <c r="D391" s="4"/>
      <c r="E391" s="4" t="s">
        <v>4</v>
      </c>
      <c r="F391" s="102">
        <f>ROUND((((F386+F387)/F388)*F389/100)/F390,2)</f>
        <v>286.08999999999997</v>
      </c>
      <c r="G391" s="4"/>
      <c r="H391" s="4" t="s">
        <v>116</v>
      </c>
      <c r="I391" s="4"/>
    </row>
    <row r="392" spans="1:9" ht="15" customHeight="1" x14ac:dyDescent="0.25">
      <c r="A392" s="33"/>
      <c r="B392" s="4"/>
      <c r="D392" s="4"/>
      <c r="E392" s="4"/>
      <c r="F392" s="59"/>
      <c r="G392" s="4"/>
      <c r="I392" s="4"/>
    </row>
    <row r="393" spans="1:9" ht="15" customHeight="1" x14ac:dyDescent="0.25">
      <c r="A393" s="33"/>
      <c r="B393" s="4"/>
      <c r="C393" s="61" t="s">
        <v>197</v>
      </c>
      <c r="D393" s="4"/>
      <c r="E393" s="4" t="s">
        <v>4</v>
      </c>
      <c r="F393" s="102">
        <f>F391</f>
        <v>286.08999999999997</v>
      </c>
      <c r="G393" s="4"/>
      <c r="H393" s="4" t="s">
        <v>116</v>
      </c>
      <c r="I393" s="4"/>
    </row>
    <row r="394" spans="1:9" ht="15" customHeight="1" x14ac:dyDescent="0.25">
      <c r="A394" s="33"/>
      <c r="B394" s="4"/>
      <c r="C394" s="4"/>
      <c r="D394" s="4"/>
      <c r="E394" s="4"/>
      <c r="F394" s="8"/>
      <c r="G394" s="4"/>
      <c r="H394" s="4"/>
      <c r="I394" s="4"/>
    </row>
    <row r="395" spans="1:9" ht="15" customHeight="1" x14ac:dyDescent="0.25">
      <c r="A395" s="33"/>
      <c r="C395" s="97" t="s">
        <v>251</v>
      </c>
      <c r="D395" s="88"/>
      <c r="E395" s="88"/>
      <c r="F395" s="88"/>
      <c r="G395" s="88"/>
      <c r="H395" s="88"/>
      <c r="I395" s="88"/>
    </row>
    <row r="396" spans="1:9" ht="15" customHeight="1" x14ac:dyDescent="0.25">
      <c r="A396" s="33"/>
      <c r="B396" s="4"/>
      <c r="C396" s="88"/>
      <c r="D396" s="88"/>
      <c r="E396" s="88"/>
      <c r="F396" s="146">
        <f>'Ввод данных'!D443</f>
        <v>250000</v>
      </c>
      <c r="G396" s="88"/>
      <c r="H396" s="88" t="s">
        <v>246</v>
      </c>
      <c r="I396" s="88"/>
    </row>
    <row r="397" spans="1:9" ht="15" customHeight="1" x14ac:dyDescent="0.25">
      <c r="A397" s="33"/>
      <c r="B397" s="4"/>
      <c r="C397" s="88"/>
      <c r="D397" s="88"/>
      <c r="E397" s="90" t="s">
        <v>3</v>
      </c>
      <c r="F397" s="147">
        <f>'Ввод данных'!E14</f>
        <v>500</v>
      </c>
      <c r="G397" s="90"/>
      <c r="H397" s="90" t="s">
        <v>141</v>
      </c>
      <c r="I397" s="90"/>
    </row>
    <row r="398" spans="1:9" ht="15" customHeight="1" x14ac:dyDescent="0.25">
      <c r="A398" s="33"/>
      <c r="B398" s="4"/>
      <c r="C398" s="88"/>
      <c r="D398" s="88"/>
      <c r="E398" s="90"/>
      <c r="F398" s="147"/>
      <c r="G398" s="90"/>
      <c r="H398" s="90"/>
      <c r="I398" s="90"/>
    </row>
    <row r="399" spans="1:9" ht="15" customHeight="1" x14ac:dyDescent="0.25">
      <c r="A399" s="33"/>
      <c r="B399" s="4"/>
      <c r="C399" s="88"/>
      <c r="D399" s="88"/>
      <c r="E399" s="88" t="s">
        <v>4</v>
      </c>
      <c r="F399" s="146">
        <f>F396/F397</f>
        <v>500</v>
      </c>
      <c r="G399" s="88"/>
      <c r="H399" s="88" t="s">
        <v>116</v>
      </c>
      <c r="I399" s="88"/>
    </row>
    <row r="400" spans="1:9" ht="15" customHeight="1" x14ac:dyDescent="0.25">
      <c r="A400" s="33"/>
      <c r="B400" s="4"/>
      <c r="C400" s="4"/>
      <c r="D400" s="4"/>
      <c r="E400" s="4"/>
      <c r="F400" s="4"/>
      <c r="G400" s="4"/>
      <c r="H400" s="4"/>
      <c r="I400" s="4"/>
    </row>
    <row r="401" spans="1:10" ht="15" customHeight="1" x14ac:dyDescent="0.25">
      <c r="A401" s="33"/>
      <c r="B401" s="4"/>
      <c r="C401" s="14" t="s">
        <v>14</v>
      </c>
      <c r="E401" s="14" t="s">
        <v>4</v>
      </c>
      <c r="F401" s="100">
        <f>ROUND(F382+F393+F399,2)</f>
        <v>1930.44</v>
      </c>
      <c r="G401" s="4"/>
      <c r="H401" s="14" t="s">
        <v>116</v>
      </c>
      <c r="I401" s="4"/>
    </row>
    <row r="402" spans="1:10" ht="15" customHeight="1" x14ac:dyDescent="0.25">
      <c r="A402" s="33"/>
      <c r="B402" s="4"/>
      <c r="C402" s="4"/>
      <c r="D402" s="4"/>
      <c r="E402" s="4"/>
      <c r="F402" s="4"/>
      <c r="G402" s="4"/>
      <c r="H402" s="4"/>
      <c r="I402" s="4"/>
    </row>
    <row r="403" spans="1:10" ht="15" customHeight="1" x14ac:dyDescent="0.25">
      <c r="A403" s="57"/>
      <c r="B403" s="14" t="s">
        <v>214</v>
      </c>
      <c r="C403" s="14"/>
      <c r="D403" s="4"/>
      <c r="E403" s="4"/>
      <c r="F403" s="4"/>
      <c r="G403" s="4"/>
      <c r="H403" s="4"/>
      <c r="I403" s="4"/>
      <c r="J403" s="33"/>
    </row>
    <row r="404" spans="1:10" ht="15" customHeight="1" x14ac:dyDescent="0.25">
      <c r="A404" s="57"/>
      <c r="B404" s="14"/>
      <c r="C404" s="14"/>
      <c r="D404" s="4"/>
      <c r="E404" s="4"/>
      <c r="F404" s="4"/>
      <c r="G404" s="4"/>
      <c r="H404" s="4"/>
      <c r="I404" s="4"/>
      <c r="J404" s="33"/>
    </row>
    <row r="405" spans="1:10" ht="15" customHeight="1" x14ac:dyDescent="0.25">
      <c r="A405" s="57"/>
      <c r="B405" s="14"/>
      <c r="C405" s="14" t="s">
        <v>203</v>
      </c>
      <c r="D405" s="4"/>
      <c r="E405" s="4"/>
      <c r="F405" s="4"/>
      <c r="G405" s="4"/>
      <c r="H405" s="4"/>
      <c r="I405" s="4"/>
      <c r="J405" s="33"/>
    </row>
    <row r="406" spans="1:10" ht="15" customHeight="1" x14ac:dyDescent="0.25">
      <c r="A406" s="33"/>
      <c r="B406" s="4"/>
      <c r="C406" s="4"/>
      <c r="D406" s="4"/>
      <c r="E406" s="4"/>
      <c r="F406" s="86">
        <f>'Ввод данных'!F449</f>
        <v>1200000</v>
      </c>
      <c r="G406" s="61"/>
      <c r="H406" s="88" t="s">
        <v>243</v>
      </c>
      <c r="I406" s="61"/>
    </row>
    <row r="407" spans="1:10" ht="15" customHeight="1" x14ac:dyDescent="0.25">
      <c r="A407" s="33"/>
      <c r="B407" s="4"/>
      <c r="C407" s="4"/>
      <c r="D407" s="4"/>
      <c r="E407" s="12" t="s">
        <v>3</v>
      </c>
      <c r="F407" s="84">
        <f>'Ввод данных'!E14</f>
        <v>500</v>
      </c>
      <c r="G407" s="12"/>
      <c r="H407" s="90" t="s">
        <v>124</v>
      </c>
      <c r="I407" s="4"/>
    </row>
    <row r="408" spans="1:10" ht="15" customHeight="1" x14ac:dyDescent="0.25">
      <c r="A408" s="33"/>
      <c r="B408" s="4"/>
      <c r="C408" s="4"/>
      <c r="D408" s="4"/>
      <c r="E408" s="14" t="s">
        <v>4</v>
      </c>
      <c r="F408" s="85">
        <f>F406/F407</f>
        <v>2400</v>
      </c>
      <c r="G408" s="14"/>
      <c r="H408" s="14" t="s">
        <v>116</v>
      </c>
      <c r="I408" s="4"/>
    </row>
    <row r="409" spans="1:10" ht="15" customHeight="1" x14ac:dyDescent="0.25">
      <c r="A409" s="33"/>
      <c r="B409" s="4"/>
      <c r="C409" s="4"/>
      <c r="D409" s="4"/>
      <c r="E409" s="14"/>
      <c r="F409" s="85"/>
      <c r="G409" s="14"/>
      <c r="H409" s="14"/>
      <c r="I409" s="4"/>
    </row>
    <row r="410" spans="1:10" ht="15" customHeight="1" x14ac:dyDescent="0.25">
      <c r="A410" s="33"/>
      <c r="B410" s="4"/>
      <c r="C410" s="14" t="s">
        <v>204</v>
      </c>
      <c r="D410" s="4"/>
      <c r="E410" s="14"/>
      <c r="F410" s="85"/>
      <c r="G410" s="14"/>
      <c r="H410" s="14"/>
      <c r="I410" s="4"/>
    </row>
    <row r="411" spans="1:10" ht="15" customHeight="1" x14ac:dyDescent="0.25">
      <c r="A411" s="33"/>
      <c r="B411" s="4"/>
      <c r="C411" s="4"/>
      <c r="D411" s="4"/>
      <c r="E411" s="4"/>
      <c r="F411" s="86">
        <f>'Ввод данных'!F451</f>
        <v>600000</v>
      </c>
      <c r="G411" s="61"/>
      <c r="H411" s="88" t="s">
        <v>243</v>
      </c>
      <c r="I411" s="4"/>
    </row>
    <row r="412" spans="1:10" ht="15" customHeight="1" x14ac:dyDescent="0.25">
      <c r="A412" s="33"/>
      <c r="B412" s="4"/>
      <c r="C412" s="4"/>
      <c r="D412" s="4"/>
      <c r="E412" s="12" t="s">
        <v>3</v>
      </c>
      <c r="F412" s="84">
        <f>F407</f>
        <v>500</v>
      </c>
      <c r="G412" s="12"/>
      <c r="H412" s="90" t="s">
        <v>124</v>
      </c>
      <c r="I412" s="4"/>
    </row>
    <row r="413" spans="1:10" ht="15" customHeight="1" x14ac:dyDescent="0.25">
      <c r="A413" s="33"/>
      <c r="B413" s="4"/>
      <c r="C413" s="4"/>
      <c r="D413" s="4"/>
      <c r="E413" s="14" t="s">
        <v>4</v>
      </c>
      <c r="F413" s="85">
        <f>F411/F412</f>
        <v>1200</v>
      </c>
      <c r="G413" s="14"/>
      <c r="H413" s="14" t="s">
        <v>116</v>
      </c>
      <c r="I413" s="4"/>
    </row>
    <row r="414" spans="1:10" ht="15" customHeight="1" x14ac:dyDescent="0.25">
      <c r="A414" s="33"/>
      <c r="B414" s="4"/>
      <c r="C414" s="4"/>
      <c r="D414" s="4"/>
      <c r="E414" s="14"/>
      <c r="F414" s="85"/>
      <c r="G414" s="14"/>
      <c r="H414" s="14"/>
      <c r="I414" s="4"/>
    </row>
    <row r="415" spans="1:10" ht="15" customHeight="1" x14ac:dyDescent="0.25">
      <c r="A415" s="33"/>
      <c r="B415" s="4"/>
      <c r="C415" s="14" t="s">
        <v>210</v>
      </c>
      <c r="D415" s="4"/>
      <c r="E415" s="14"/>
      <c r="F415" s="85"/>
      <c r="G415" s="14"/>
      <c r="H415" s="14"/>
      <c r="I415" s="4"/>
    </row>
    <row r="416" spans="1:10" ht="15" customHeight="1" x14ac:dyDescent="0.25">
      <c r="A416" s="33"/>
      <c r="B416" s="4"/>
      <c r="C416" s="4"/>
      <c r="D416" s="4"/>
      <c r="E416" s="4"/>
      <c r="F416" s="86">
        <f>'Ввод данных'!F453</f>
        <v>600000</v>
      </c>
      <c r="G416" s="61"/>
      <c r="H416" s="88" t="s">
        <v>243</v>
      </c>
      <c r="I416" s="4"/>
    </row>
    <row r="417" spans="1:9" ht="15" customHeight="1" x14ac:dyDescent="0.25">
      <c r="A417" s="33"/>
      <c r="B417" s="4"/>
      <c r="C417" s="4"/>
      <c r="D417" s="4"/>
      <c r="E417" s="12" t="s">
        <v>3</v>
      </c>
      <c r="F417" s="84">
        <f>F407</f>
        <v>500</v>
      </c>
      <c r="G417" s="12"/>
      <c r="H417" s="90" t="s">
        <v>124</v>
      </c>
      <c r="I417" s="4"/>
    </row>
    <row r="418" spans="1:9" ht="15" customHeight="1" x14ac:dyDescent="0.25">
      <c r="A418" s="33"/>
      <c r="B418" s="4"/>
      <c r="C418" s="4"/>
      <c r="D418" s="4"/>
      <c r="E418" s="14" t="s">
        <v>4</v>
      </c>
      <c r="F418" s="85">
        <f>F416/F417</f>
        <v>1200</v>
      </c>
      <c r="G418" s="14"/>
      <c r="H418" s="14" t="s">
        <v>116</v>
      </c>
      <c r="I418" s="4"/>
    </row>
    <row r="419" spans="1:9" ht="15" customHeight="1" x14ac:dyDescent="0.25">
      <c r="A419" s="33"/>
      <c r="B419" s="4"/>
      <c r="C419" s="4"/>
      <c r="D419" s="4"/>
      <c r="E419" s="14"/>
      <c r="F419" s="85"/>
      <c r="G419" s="14"/>
      <c r="H419" s="14"/>
      <c r="I419" s="4"/>
    </row>
    <row r="420" spans="1:9" ht="15" customHeight="1" x14ac:dyDescent="0.25">
      <c r="A420" s="33"/>
      <c r="B420" s="4"/>
      <c r="C420" s="82" t="s">
        <v>211</v>
      </c>
      <c r="D420" s="4"/>
      <c r="E420" s="14"/>
      <c r="F420" s="85"/>
      <c r="G420" s="14"/>
      <c r="H420" s="14"/>
      <c r="I420" s="4"/>
    </row>
    <row r="421" spans="1:9" ht="15" customHeight="1" x14ac:dyDescent="0.25">
      <c r="A421" s="33"/>
      <c r="B421" s="4"/>
      <c r="C421" s="4"/>
      <c r="D421" s="4"/>
      <c r="E421" s="4"/>
      <c r="F421" s="86">
        <f>'Ввод данных'!F455</f>
        <v>600000</v>
      </c>
      <c r="G421" s="61"/>
      <c r="H421" s="88" t="s">
        <v>243</v>
      </c>
      <c r="I421" s="4"/>
    </row>
    <row r="422" spans="1:9" ht="15" customHeight="1" x14ac:dyDescent="0.25">
      <c r="A422" s="33"/>
      <c r="B422" s="4"/>
      <c r="C422" s="4"/>
      <c r="D422" s="4"/>
      <c r="E422" s="12" t="s">
        <v>3</v>
      </c>
      <c r="F422" s="84">
        <f>F407</f>
        <v>500</v>
      </c>
      <c r="G422" s="12"/>
      <c r="H422" s="90" t="s">
        <v>124</v>
      </c>
      <c r="I422" s="4"/>
    </row>
    <row r="423" spans="1:9" ht="15" customHeight="1" x14ac:dyDescent="0.25">
      <c r="A423" s="33"/>
      <c r="B423" s="4"/>
      <c r="C423" s="4"/>
      <c r="D423" s="4"/>
      <c r="E423" s="14" t="s">
        <v>4</v>
      </c>
      <c r="F423" s="142">
        <f>F421/F422</f>
        <v>1200</v>
      </c>
      <c r="G423" s="12"/>
      <c r="H423" s="14" t="s">
        <v>116</v>
      </c>
      <c r="I423" s="4"/>
    </row>
    <row r="424" spans="1:9" ht="15" customHeight="1" x14ac:dyDescent="0.25">
      <c r="A424" s="33"/>
      <c r="B424" s="4"/>
      <c r="C424" s="4"/>
      <c r="D424" s="4"/>
      <c r="E424" s="14"/>
      <c r="F424" s="85"/>
      <c r="G424" s="14"/>
      <c r="H424" s="14"/>
      <c r="I424" s="4"/>
    </row>
    <row r="425" spans="1:9" ht="15" customHeight="1" x14ac:dyDescent="0.25">
      <c r="A425" s="33"/>
      <c r="B425" s="4"/>
      <c r="C425" s="82" t="s">
        <v>215</v>
      </c>
      <c r="D425" s="82"/>
      <c r="E425" s="14" t="s">
        <v>4</v>
      </c>
      <c r="F425" s="85">
        <f>F408+F413+F418+F423</f>
        <v>6000</v>
      </c>
      <c r="G425" s="14"/>
      <c r="H425" s="14" t="s">
        <v>217</v>
      </c>
      <c r="I425" s="4"/>
    </row>
    <row r="426" spans="1:9" ht="15" customHeight="1" x14ac:dyDescent="0.25">
      <c r="A426" s="33"/>
      <c r="B426" s="4"/>
      <c r="C426" s="129" t="s">
        <v>216</v>
      </c>
      <c r="D426" s="82"/>
      <c r="E426" s="14"/>
      <c r="F426" s="85"/>
      <c r="G426" s="14"/>
      <c r="H426" s="14"/>
      <c r="I426" s="4"/>
    </row>
    <row r="427" spans="1:9" ht="15" customHeight="1" x14ac:dyDescent="0.25">
      <c r="A427" s="33"/>
      <c r="B427" s="4"/>
      <c r="C427" s="129"/>
      <c r="D427" s="82"/>
      <c r="E427" s="14"/>
      <c r="F427" s="85"/>
      <c r="G427" s="14"/>
      <c r="H427" s="14"/>
      <c r="I427" s="4"/>
    </row>
    <row r="428" spans="1:9" ht="15" customHeight="1" x14ac:dyDescent="0.25">
      <c r="A428" s="33"/>
      <c r="B428" s="136" t="s">
        <v>198</v>
      </c>
      <c r="C428" s="136"/>
      <c r="D428" s="137"/>
      <c r="E428" s="137"/>
      <c r="F428" s="137"/>
      <c r="G428" s="137"/>
      <c r="H428" s="137"/>
      <c r="I428" s="137"/>
    </row>
    <row r="429" spans="1:9" ht="15" customHeight="1" x14ac:dyDescent="0.25">
      <c r="A429" s="33"/>
      <c r="B429" s="60"/>
      <c r="C429" s="60"/>
      <c r="D429" s="60"/>
      <c r="E429" s="60"/>
      <c r="F429" s="60"/>
      <c r="G429" s="60"/>
      <c r="H429" s="60"/>
      <c r="I429" s="60"/>
    </row>
    <row r="430" spans="1:9" ht="15" customHeight="1" x14ac:dyDescent="0.25">
      <c r="A430" s="33"/>
      <c r="B430" s="66"/>
      <c r="C430" s="66"/>
      <c r="D430" s="66"/>
      <c r="E430" s="66"/>
      <c r="F430" s="66"/>
      <c r="G430" s="66"/>
      <c r="H430" s="66"/>
      <c r="I430" s="66"/>
    </row>
    <row r="431" spans="1:9" ht="15" customHeight="1" x14ac:dyDescent="0.25">
      <c r="A431" s="33"/>
      <c r="B431" s="66"/>
      <c r="C431" s="66"/>
      <c r="D431" s="66"/>
      <c r="E431" s="66"/>
      <c r="F431" s="66"/>
      <c r="G431" s="66"/>
      <c r="H431" s="66"/>
      <c r="I431" s="66"/>
    </row>
    <row r="432" spans="1:9" ht="15" customHeight="1" x14ac:dyDescent="0.25">
      <c r="A432" s="33"/>
      <c r="B432" s="66"/>
      <c r="C432" s="66"/>
      <c r="D432" s="66"/>
      <c r="E432" s="66"/>
      <c r="F432" s="66"/>
      <c r="G432" s="67"/>
      <c r="H432" s="66"/>
      <c r="I432" s="66"/>
    </row>
    <row r="433" spans="1:9" ht="15" customHeight="1" x14ac:dyDescent="0.25">
      <c r="A433" s="33"/>
      <c r="B433" s="66"/>
      <c r="C433" s="66"/>
      <c r="D433" s="66"/>
      <c r="E433" s="66"/>
      <c r="F433" s="66"/>
      <c r="G433" s="66"/>
      <c r="H433" s="66"/>
      <c r="I433" s="66"/>
    </row>
    <row r="434" spans="1:9" ht="15" customHeight="1" x14ac:dyDescent="0.25">
      <c r="A434" s="33"/>
      <c r="B434" s="66"/>
      <c r="C434" s="66"/>
      <c r="D434" s="66"/>
      <c r="E434" s="66"/>
      <c r="F434" s="66"/>
      <c r="G434" s="61"/>
      <c r="H434" s="66"/>
      <c r="I434" s="66"/>
    </row>
    <row r="435" spans="1:9" ht="15" customHeight="1" x14ac:dyDescent="0.25">
      <c r="A435" s="33"/>
      <c r="B435" s="66"/>
      <c r="C435" s="66"/>
      <c r="D435" s="66"/>
      <c r="E435" s="66"/>
      <c r="F435" s="66"/>
      <c r="G435" s="66"/>
      <c r="I435" s="66"/>
    </row>
    <row r="436" spans="1:9" ht="15" customHeight="1" x14ac:dyDescent="0.25">
      <c r="A436" s="33"/>
      <c r="B436" s="66"/>
      <c r="C436" s="66"/>
      <c r="D436" s="66"/>
      <c r="E436" s="66"/>
      <c r="F436" s="66"/>
      <c r="G436" s="66"/>
      <c r="H436" s="66"/>
      <c r="I436" s="66"/>
    </row>
    <row r="437" spans="1:9" ht="15" customHeight="1" x14ac:dyDescent="0.25">
      <c r="A437" s="33"/>
      <c r="B437" s="61"/>
      <c r="C437" s="66"/>
      <c r="D437" s="66"/>
      <c r="E437" s="66"/>
      <c r="F437" s="66"/>
      <c r="G437" s="66"/>
      <c r="H437" s="66"/>
      <c r="I437" s="66"/>
    </row>
    <row r="438" spans="1:9" ht="15" customHeight="1" x14ac:dyDescent="0.25">
      <c r="A438" s="33"/>
      <c r="B438" s="66"/>
      <c r="C438" s="66"/>
      <c r="D438" s="66"/>
      <c r="E438" s="66"/>
      <c r="F438" s="66"/>
      <c r="I438" s="66"/>
    </row>
    <row r="439" spans="1:9" ht="15" customHeight="1" x14ac:dyDescent="0.25">
      <c r="C439" s="66"/>
      <c r="D439" s="66"/>
      <c r="E439" s="66"/>
      <c r="F439" s="66"/>
      <c r="I439" s="66"/>
    </row>
    <row r="440" spans="1:9" ht="15" customHeight="1" x14ac:dyDescent="0.25">
      <c r="B440" s="66"/>
      <c r="C440" s="66"/>
      <c r="D440" s="66"/>
      <c r="E440" s="66"/>
      <c r="F440" s="66"/>
      <c r="G440" s="66"/>
      <c r="I440" s="66"/>
    </row>
    <row r="441" spans="1:9" ht="15" customHeight="1" x14ac:dyDescent="0.25">
      <c r="C441" s="66"/>
      <c r="D441" s="66"/>
      <c r="E441" s="66"/>
      <c r="F441" s="66"/>
      <c r="G441" s="66"/>
      <c r="H441" s="66"/>
      <c r="I441" s="66"/>
    </row>
    <row r="442" spans="1:9" ht="15" customHeight="1" x14ac:dyDescent="0.25">
      <c r="C442" s="66"/>
      <c r="D442" s="66"/>
      <c r="E442" s="66"/>
      <c r="F442" s="66"/>
      <c r="G442" s="66"/>
      <c r="H442" s="66"/>
      <c r="I442" s="66"/>
    </row>
    <row r="443" spans="1:9" ht="15" customHeight="1" x14ac:dyDescent="0.25">
      <c r="B443" s="4"/>
    </row>
  </sheetData>
  <mergeCells count="14">
    <mergeCell ref="F348:I348"/>
    <mergeCell ref="B3:I3"/>
    <mergeCell ref="B5:I6"/>
    <mergeCell ref="A15:I15"/>
    <mergeCell ref="B271:I271"/>
    <mergeCell ref="F331:I331"/>
    <mergeCell ref="F332:I332"/>
    <mergeCell ref="B11:J11"/>
    <mergeCell ref="B281:G281"/>
    <mergeCell ref="B283:G283"/>
    <mergeCell ref="B288:G288"/>
    <mergeCell ref="B289:G289"/>
    <mergeCell ref="B292:G292"/>
    <mergeCell ref="B294:G29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B2:N66"/>
  <sheetViews>
    <sheetView showGridLines="0" topLeftCell="A40" zoomScale="85" zoomScaleNormal="85" workbookViewId="0">
      <selection activeCell="H67" sqref="H67"/>
    </sheetView>
  </sheetViews>
  <sheetFormatPr defaultRowHeight="18" x14ac:dyDescent="0.25"/>
  <cols>
    <col min="1" max="1" width="1.28515625" style="1" customWidth="1"/>
    <col min="2" max="2" width="15.7109375" style="1" customWidth="1"/>
    <col min="3" max="3" width="9.140625" style="1"/>
    <col min="4" max="4" width="13.140625" style="1" customWidth="1"/>
    <col min="5" max="5" width="20.42578125" style="1" customWidth="1"/>
    <col min="6" max="6" width="16.140625" style="1" customWidth="1"/>
    <col min="7" max="7" width="9.85546875" style="1" customWidth="1"/>
    <col min="8" max="8" width="19.42578125" style="1" customWidth="1"/>
    <col min="9" max="9" width="10.7109375" style="1" customWidth="1"/>
    <col min="10" max="10" width="9.28515625" style="1" customWidth="1"/>
    <col min="11" max="12" width="11.42578125" style="1" bestFit="1" customWidth="1"/>
    <col min="13" max="13" width="18.7109375" style="1" bestFit="1" customWidth="1"/>
    <col min="14" max="14" width="15.42578125" style="1" bestFit="1" customWidth="1"/>
    <col min="15" max="15" width="13.85546875" style="1" bestFit="1" customWidth="1"/>
    <col min="16" max="255" width="9.140625" style="1"/>
    <col min="256" max="256" width="1.28515625" style="1" customWidth="1"/>
    <col min="257" max="257" width="15.7109375" style="1" customWidth="1"/>
    <col min="258" max="258" width="9.140625" style="1"/>
    <col min="259" max="259" width="13.140625" style="1" customWidth="1"/>
    <col min="260" max="260" width="10" style="1" customWidth="1"/>
    <col min="261" max="261" width="14.140625" style="1" customWidth="1"/>
    <col min="262" max="262" width="9" style="1" customWidth="1"/>
    <col min="263" max="263" width="14.28515625" style="1" customWidth="1"/>
    <col min="264" max="264" width="4.85546875" style="1" customWidth="1"/>
    <col min="265" max="265" width="12.28515625" style="1" customWidth="1"/>
    <col min="266" max="266" width="9.28515625" style="1" customWidth="1"/>
    <col min="267" max="511" width="9.140625" style="1"/>
    <col min="512" max="512" width="1.28515625" style="1" customWidth="1"/>
    <col min="513" max="513" width="15.7109375" style="1" customWidth="1"/>
    <col min="514" max="514" width="9.140625" style="1"/>
    <col min="515" max="515" width="13.140625" style="1" customWidth="1"/>
    <col min="516" max="516" width="10" style="1" customWidth="1"/>
    <col min="517" max="517" width="14.140625" style="1" customWidth="1"/>
    <col min="518" max="518" width="9" style="1" customWidth="1"/>
    <col min="519" max="519" width="14.28515625" style="1" customWidth="1"/>
    <col min="520" max="520" width="4.85546875" style="1" customWidth="1"/>
    <col min="521" max="521" width="12.28515625" style="1" customWidth="1"/>
    <col min="522" max="522" width="9.28515625" style="1" customWidth="1"/>
    <col min="523" max="767" width="9.140625" style="1"/>
    <col min="768" max="768" width="1.28515625" style="1" customWidth="1"/>
    <col min="769" max="769" width="15.7109375" style="1" customWidth="1"/>
    <col min="770" max="770" width="9.140625" style="1"/>
    <col min="771" max="771" width="13.140625" style="1" customWidth="1"/>
    <col min="772" max="772" width="10" style="1" customWidth="1"/>
    <col min="773" max="773" width="14.140625" style="1" customWidth="1"/>
    <col min="774" max="774" width="9" style="1" customWidth="1"/>
    <col min="775" max="775" width="14.28515625" style="1" customWidth="1"/>
    <col min="776" max="776" width="4.85546875" style="1" customWidth="1"/>
    <col min="777" max="777" width="12.28515625" style="1" customWidth="1"/>
    <col min="778" max="778" width="9.28515625" style="1" customWidth="1"/>
    <col min="779" max="1023" width="9.140625" style="1"/>
    <col min="1024" max="1024" width="1.28515625" style="1" customWidth="1"/>
    <col min="1025" max="1025" width="15.7109375" style="1" customWidth="1"/>
    <col min="1026" max="1026" width="9.140625" style="1"/>
    <col min="1027" max="1027" width="13.140625" style="1" customWidth="1"/>
    <col min="1028" max="1028" width="10" style="1" customWidth="1"/>
    <col min="1029" max="1029" width="14.140625" style="1" customWidth="1"/>
    <col min="1030" max="1030" width="9" style="1" customWidth="1"/>
    <col min="1031" max="1031" width="14.28515625" style="1" customWidth="1"/>
    <col min="1032" max="1032" width="4.85546875" style="1" customWidth="1"/>
    <col min="1033" max="1033" width="12.28515625" style="1" customWidth="1"/>
    <col min="1034" max="1034" width="9.28515625" style="1" customWidth="1"/>
    <col min="1035" max="1279" width="9.140625" style="1"/>
    <col min="1280" max="1280" width="1.28515625" style="1" customWidth="1"/>
    <col min="1281" max="1281" width="15.7109375" style="1" customWidth="1"/>
    <col min="1282" max="1282" width="9.140625" style="1"/>
    <col min="1283" max="1283" width="13.140625" style="1" customWidth="1"/>
    <col min="1284" max="1284" width="10" style="1" customWidth="1"/>
    <col min="1285" max="1285" width="14.140625" style="1" customWidth="1"/>
    <col min="1286" max="1286" width="9" style="1" customWidth="1"/>
    <col min="1287" max="1287" width="14.28515625" style="1" customWidth="1"/>
    <col min="1288" max="1288" width="4.85546875" style="1" customWidth="1"/>
    <col min="1289" max="1289" width="12.28515625" style="1" customWidth="1"/>
    <col min="1290" max="1290" width="9.28515625" style="1" customWidth="1"/>
    <col min="1291" max="1535" width="9.140625" style="1"/>
    <col min="1536" max="1536" width="1.28515625" style="1" customWidth="1"/>
    <col min="1537" max="1537" width="15.7109375" style="1" customWidth="1"/>
    <col min="1538" max="1538" width="9.140625" style="1"/>
    <col min="1539" max="1539" width="13.140625" style="1" customWidth="1"/>
    <col min="1540" max="1540" width="10" style="1" customWidth="1"/>
    <col min="1541" max="1541" width="14.140625" style="1" customWidth="1"/>
    <col min="1542" max="1542" width="9" style="1" customWidth="1"/>
    <col min="1543" max="1543" width="14.28515625" style="1" customWidth="1"/>
    <col min="1544" max="1544" width="4.85546875" style="1" customWidth="1"/>
    <col min="1545" max="1545" width="12.28515625" style="1" customWidth="1"/>
    <col min="1546" max="1546" width="9.28515625" style="1" customWidth="1"/>
    <col min="1547" max="1791" width="9.140625" style="1"/>
    <col min="1792" max="1792" width="1.28515625" style="1" customWidth="1"/>
    <col min="1793" max="1793" width="15.7109375" style="1" customWidth="1"/>
    <col min="1794" max="1794" width="9.140625" style="1"/>
    <col min="1795" max="1795" width="13.140625" style="1" customWidth="1"/>
    <col min="1796" max="1796" width="10" style="1" customWidth="1"/>
    <col min="1797" max="1797" width="14.140625" style="1" customWidth="1"/>
    <col min="1798" max="1798" width="9" style="1" customWidth="1"/>
    <col min="1799" max="1799" width="14.28515625" style="1" customWidth="1"/>
    <col min="1800" max="1800" width="4.85546875" style="1" customWidth="1"/>
    <col min="1801" max="1801" width="12.28515625" style="1" customWidth="1"/>
    <col min="1802" max="1802" width="9.28515625" style="1" customWidth="1"/>
    <col min="1803" max="2047" width="9.140625" style="1"/>
    <col min="2048" max="2048" width="1.28515625" style="1" customWidth="1"/>
    <col min="2049" max="2049" width="15.7109375" style="1" customWidth="1"/>
    <col min="2050" max="2050" width="9.140625" style="1"/>
    <col min="2051" max="2051" width="13.140625" style="1" customWidth="1"/>
    <col min="2052" max="2052" width="10" style="1" customWidth="1"/>
    <col min="2053" max="2053" width="14.140625" style="1" customWidth="1"/>
    <col min="2054" max="2054" width="9" style="1" customWidth="1"/>
    <col min="2055" max="2055" width="14.28515625" style="1" customWidth="1"/>
    <col min="2056" max="2056" width="4.85546875" style="1" customWidth="1"/>
    <col min="2057" max="2057" width="12.28515625" style="1" customWidth="1"/>
    <col min="2058" max="2058" width="9.28515625" style="1" customWidth="1"/>
    <col min="2059" max="2303" width="9.140625" style="1"/>
    <col min="2304" max="2304" width="1.28515625" style="1" customWidth="1"/>
    <col min="2305" max="2305" width="15.7109375" style="1" customWidth="1"/>
    <col min="2306" max="2306" width="9.140625" style="1"/>
    <col min="2307" max="2307" width="13.140625" style="1" customWidth="1"/>
    <col min="2308" max="2308" width="10" style="1" customWidth="1"/>
    <col min="2309" max="2309" width="14.140625" style="1" customWidth="1"/>
    <col min="2310" max="2310" width="9" style="1" customWidth="1"/>
    <col min="2311" max="2311" width="14.28515625" style="1" customWidth="1"/>
    <col min="2312" max="2312" width="4.85546875" style="1" customWidth="1"/>
    <col min="2313" max="2313" width="12.28515625" style="1" customWidth="1"/>
    <col min="2314" max="2314" width="9.28515625" style="1" customWidth="1"/>
    <col min="2315" max="2559" width="9.140625" style="1"/>
    <col min="2560" max="2560" width="1.28515625" style="1" customWidth="1"/>
    <col min="2561" max="2561" width="15.7109375" style="1" customWidth="1"/>
    <col min="2562" max="2562" width="9.140625" style="1"/>
    <col min="2563" max="2563" width="13.140625" style="1" customWidth="1"/>
    <col min="2564" max="2564" width="10" style="1" customWidth="1"/>
    <col min="2565" max="2565" width="14.140625" style="1" customWidth="1"/>
    <col min="2566" max="2566" width="9" style="1" customWidth="1"/>
    <col min="2567" max="2567" width="14.28515625" style="1" customWidth="1"/>
    <col min="2568" max="2568" width="4.85546875" style="1" customWidth="1"/>
    <col min="2569" max="2569" width="12.28515625" style="1" customWidth="1"/>
    <col min="2570" max="2570" width="9.28515625" style="1" customWidth="1"/>
    <col min="2571" max="2815" width="9.140625" style="1"/>
    <col min="2816" max="2816" width="1.28515625" style="1" customWidth="1"/>
    <col min="2817" max="2817" width="15.7109375" style="1" customWidth="1"/>
    <col min="2818" max="2818" width="9.140625" style="1"/>
    <col min="2819" max="2819" width="13.140625" style="1" customWidth="1"/>
    <col min="2820" max="2820" width="10" style="1" customWidth="1"/>
    <col min="2821" max="2821" width="14.140625" style="1" customWidth="1"/>
    <col min="2822" max="2822" width="9" style="1" customWidth="1"/>
    <col min="2823" max="2823" width="14.28515625" style="1" customWidth="1"/>
    <col min="2824" max="2824" width="4.85546875" style="1" customWidth="1"/>
    <col min="2825" max="2825" width="12.28515625" style="1" customWidth="1"/>
    <col min="2826" max="2826" width="9.28515625" style="1" customWidth="1"/>
    <col min="2827" max="3071" width="9.140625" style="1"/>
    <col min="3072" max="3072" width="1.28515625" style="1" customWidth="1"/>
    <col min="3073" max="3073" width="15.7109375" style="1" customWidth="1"/>
    <col min="3074" max="3074" width="9.140625" style="1"/>
    <col min="3075" max="3075" width="13.140625" style="1" customWidth="1"/>
    <col min="3076" max="3076" width="10" style="1" customWidth="1"/>
    <col min="3077" max="3077" width="14.140625" style="1" customWidth="1"/>
    <col min="3078" max="3078" width="9" style="1" customWidth="1"/>
    <col min="3079" max="3079" width="14.28515625" style="1" customWidth="1"/>
    <col min="3080" max="3080" width="4.85546875" style="1" customWidth="1"/>
    <col min="3081" max="3081" width="12.28515625" style="1" customWidth="1"/>
    <col min="3082" max="3082" width="9.28515625" style="1" customWidth="1"/>
    <col min="3083" max="3327" width="9.140625" style="1"/>
    <col min="3328" max="3328" width="1.28515625" style="1" customWidth="1"/>
    <col min="3329" max="3329" width="15.7109375" style="1" customWidth="1"/>
    <col min="3330" max="3330" width="9.140625" style="1"/>
    <col min="3331" max="3331" width="13.140625" style="1" customWidth="1"/>
    <col min="3332" max="3332" width="10" style="1" customWidth="1"/>
    <col min="3333" max="3333" width="14.140625" style="1" customWidth="1"/>
    <col min="3334" max="3334" width="9" style="1" customWidth="1"/>
    <col min="3335" max="3335" width="14.28515625" style="1" customWidth="1"/>
    <col min="3336" max="3336" width="4.85546875" style="1" customWidth="1"/>
    <col min="3337" max="3337" width="12.28515625" style="1" customWidth="1"/>
    <col min="3338" max="3338" width="9.28515625" style="1" customWidth="1"/>
    <col min="3339" max="3583" width="9.140625" style="1"/>
    <col min="3584" max="3584" width="1.28515625" style="1" customWidth="1"/>
    <col min="3585" max="3585" width="15.7109375" style="1" customWidth="1"/>
    <col min="3586" max="3586" width="9.140625" style="1"/>
    <col min="3587" max="3587" width="13.140625" style="1" customWidth="1"/>
    <col min="3588" max="3588" width="10" style="1" customWidth="1"/>
    <col min="3589" max="3589" width="14.140625" style="1" customWidth="1"/>
    <col min="3590" max="3590" width="9" style="1" customWidth="1"/>
    <col min="3591" max="3591" width="14.28515625" style="1" customWidth="1"/>
    <col min="3592" max="3592" width="4.85546875" style="1" customWidth="1"/>
    <col min="3593" max="3593" width="12.28515625" style="1" customWidth="1"/>
    <col min="3594" max="3594" width="9.28515625" style="1" customWidth="1"/>
    <col min="3595" max="3839" width="9.140625" style="1"/>
    <col min="3840" max="3840" width="1.28515625" style="1" customWidth="1"/>
    <col min="3841" max="3841" width="15.7109375" style="1" customWidth="1"/>
    <col min="3842" max="3842" width="9.140625" style="1"/>
    <col min="3843" max="3843" width="13.140625" style="1" customWidth="1"/>
    <col min="3844" max="3844" width="10" style="1" customWidth="1"/>
    <col min="3845" max="3845" width="14.140625" style="1" customWidth="1"/>
    <col min="3846" max="3846" width="9" style="1" customWidth="1"/>
    <col min="3847" max="3847" width="14.28515625" style="1" customWidth="1"/>
    <col min="3848" max="3848" width="4.85546875" style="1" customWidth="1"/>
    <col min="3849" max="3849" width="12.28515625" style="1" customWidth="1"/>
    <col min="3850" max="3850" width="9.28515625" style="1" customWidth="1"/>
    <col min="3851" max="4095" width="9.140625" style="1"/>
    <col min="4096" max="4096" width="1.28515625" style="1" customWidth="1"/>
    <col min="4097" max="4097" width="15.7109375" style="1" customWidth="1"/>
    <col min="4098" max="4098" width="9.140625" style="1"/>
    <col min="4099" max="4099" width="13.140625" style="1" customWidth="1"/>
    <col min="4100" max="4100" width="10" style="1" customWidth="1"/>
    <col min="4101" max="4101" width="14.140625" style="1" customWidth="1"/>
    <col min="4102" max="4102" width="9" style="1" customWidth="1"/>
    <col min="4103" max="4103" width="14.28515625" style="1" customWidth="1"/>
    <col min="4104" max="4104" width="4.85546875" style="1" customWidth="1"/>
    <col min="4105" max="4105" width="12.28515625" style="1" customWidth="1"/>
    <col min="4106" max="4106" width="9.28515625" style="1" customWidth="1"/>
    <col min="4107" max="4351" width="9.140625" style="1"/>
    <col min="4352" max="4352" width="1.28515625" style="1" customWidth="1"/>
    <col min="4353" max="4353" width="15.7109375" style="1" customWidth="1"/>
    <col min="4354" max="4354" width="9.140625" style="1"/>
    <col min="4355" max="4355" width="13.140625" style="1" customWidth="1"/>
    <col min="4356" max="4356" width="10" style="1" customWidth="1"/>
    <col min="4357" max="4357" width="14.140625" style="1" customWidth="1"/>
    <col min="4358" max="4358" width="9" style="1" customWidth="1"/>
    <col min="4359" max="4359" width="14.28515625" style="1" customWidth="1"/>
    <col min="4360" max="4360" width="4.85546875" style="1" customWidth="1"/>
    <col min="4361" max="4361" width="12.28515625" style="1" customWidth="1"/>
    <col min="4362" max="4362" width="9.28515625" style="1" customWidth="1"/>
    <col min="4363" max="4607" width="9.140625" style="1"/>
    <col min="4608" max="4608" width="1.28515625" style="1" customWidth="1"/>
    <col min="4609" max="4609" width="15.7109375" style="1" customWidth="1"/>
    <col min="4610" max="4610" width="9.140625" style="1"/>
    <col min="4611" max="4611" width="13.140625" style="1" customWidth="1"/>
    <col min="4612" max="4612" width="10" style="1" customWidth="1"/>
    <col min="4613" max="4613" width="14.140625" style="1" customWidth="1"/>
    <col min="4614" max="4614" width="9" style="1" customWidth="1"/>
    <col min="4615" max="4615" width="14.28515625" style="1" customWidth="1"/>
    <col min="4616" max="4616" width="4.85546875" style="1" customWidth="1"/>
    <col min="4617" max="4617" width="12.28515625" style="1" customWidth="1"/>
    <col min="4618" max="4618" width="9.28515625" style="1" customWidth="1"/>
    <col min="4619" max="4863" width="9.140625" style="1"/>
    <col min="4864" max="4864" width="1.28515625" style="1" customWidth="1"/>
    <col min="4865" max="4865" width="15.7109375" style="1" customWidth="1"/>
    <col min="4866" max="4866" width="9.140625" style="1"/>
    <col min="4867" max="4867" width="13.140625" style="1" customWidth="1"/>
    <col min="4868" max="4868" width="10" style="1" customWidth="1"/>
    <col min="4869" max="4869" width="14.140625" style="1" customWidth="1"/>
    <col min="4870" max="4870" width="9" style="1" customWidth="1"/>
    <col min="4871" max="4871" width="14.28515625" style="1" customWidth="1"/>
    <col min="4872" max="4872" width="4.85546875" style="1" customWidth="1"/>
    <col min="4873" max="4873" width="12.28515625" style="1" customWidth="1"/>
    <col min="4874" max="4874" width="9.28515625" style="1" customWidth="1"/>
    <col min="4875" max="5119" width="9.140625" style="1"/>
    <col min="5120" max="5120" width="1.28515625" style="1" customWidth="1"/>
    <col min="5121" max="5121" width="15.7109375" style="1" customWidth="1"/>
    <col min="5122" max="5122" width="9.140625" style="1"/>
    <col min="5123" max="5123" width="13.140625" style="1" customWidth="1"/>
    <col min="5124" max="5124" width="10" style="1" customWidth="1"/>
    <col min="5125" max="5125" width="14.140625" style="1" customWidth="1"/>
    <col min="5126" max="5126" width="9" style="1" customWidth="1"/>
    <col min="5127" max="5127" width="14.28515625" style="1" customWidth="1"/>
    <col min="5128" max="5128" width="4.85546875" style="1" customWidth="1"/>
    <col min="5129" max="5129" width="12.28515625" style="1" customWidth="1"/>
    <col min="5130" max="5130" width="9.28515625" style="1" customWidth="1"/>
    <col min="5131" max="5375" width="9.140625" style="1"/>
    <col min="5376" max="5376" width="1.28515625" style="1" customWidth="1"/>
    <col min="5377" max="5377" width="15.7109375" style="1" customWidth="1"/>
    <col min="5378" max="5378" width="9.140625" style="1"/>
    <col min="5379" max="5379" width="13.140625" style="1" customWidth="1"/>
    <col min="5380" max="5380" width="10" style="1" customWidth="1"/>
    <col min="5381" max="5381" width="14.140625" style="1" customWidth="1"/>
    <col min="5382" max="5382" width="9" style="1" customWidth="1"/>
    <col min="5383" max="5383" width="14.28515625" style="1" customWidth="1"/>
    <col min="5384" max="5384" width="4.85546875" style="1" customWidth="1"/>
    <col min="5385" max="5385" width="12.28515625" style="1" customWidth="1"/>
    <col min="5386" max="5386" width="9.28515625" style="1" customWidth="1"/>
    <col min="5387" max="5631" width="9.140625" style="1"/>
    <col min="5632" max="5632" width="1.28515625" style="1" customWidth="1"/>
    <col min="5633" max="5633" width="15.7109375" style="1" customWidth="1"/>
    <col min="5634" max="5634" width="9.140625" style="1"/>
    <col min="5635" max="5635" width="13.140625" style="1" customWidth="1"/>
    <col min="5636" max="5636" width="10" style="1" customWidth="1"/>
    <col min="5637" max="5637" width="14.140625" style="1" customWidth="1"/>
    <col min="5638" max="5638" width="9" style="1" customWidth="1"/>
    <col min="5639" max="5639" width="14.28515625" style="1" customWidth="1"/>
    <col min="5640" max="5640" width="4.85546875" style="1" customWidth="1"/>
    <col min="5641" max="5641" width="12.28515625" style="1" customWidth="1"/>
    <col min="5642" max="5642" width="9.28515625" style="1" customWidth="1"/>
    <col min="5643" max="5887" width="9.140625" style="1"/>
    <col min="5888" max="5888" width="1.28515625" style="1" customWidth="1"/>
    <col min="5889" max="5889" width="15.7109375" style="1" customWidth="1"/>
    <col min="5890" max="5890" width="9.140625" style="1"/>
    <col min="5891" max="5891" width="13.140625" style="1" customWidth="1"/>
    <col min="5892" max="5892" width="10" style="1" customWidth="1"/>
    <col min="5893" max="5893" width="14.140625" style="1" customWidth="1"/>
    <col min="5894" max="5894" width="9" style="1" customWidth="1"/>
    <col min="5895" max="5895" width="14.28515625" style="1" customWidth="1"/>
    <col min="5896" max="5896" width="4.85546875" style="1" customWidth="1"/>
    <col min="5897" max="5897" width="12.28515625" style="1" customWidth="1"/>
    <col min="5898" max="5898" width="9.28515625" style="1" customWidth="1"/>
    <col min="5899" max="6143" width="9.140625" style="1"/>
    <col min="6144" max="6144" width="1.28515625" style="1" customWidth="1"/>
    <col min="6145" max="6145" width="15.7109375" style="1" customWidth="1"/>
    <col min="6146" max="6146" width="9.140625" style="1"/>
    <col min="6147" max="6147" width="13.140625" style="1" customWidth="1"/>
    <col min="6148" max="6148" width="10" style="1" customWidth="1"/>
    <col min="6149" max="6149" width="14.140625" style="1" customWidth="1"/>
    <col min="6150" max="6150" width="9" style="1" customWidth="1"/>
    <col min="6151" max="6151" width="14.28515625" style="1" customWidth="1"/>
    <col min="6152" max="6152" width="4.85546875" style="1" customWidth="1"/>
    <col min="6153" max="6153" width="12.28515625" style="1" customWidth="1"/>
    <col min="6154" max="6154" width="9.28515625" style="1" customWidth="1"/>
    <col min="6155" max="6399" width="9.140625" style="1"/>
    <col min="6400" max="6400" width="1.28515625" style="1" customWidth="1"/>
    <col min="6401" max="6401" width="15.7109375" style="1" customWidth="1"/>
    <col min="6402" max="6402" width="9.140625" style="1"/>
    <col min="6403" max="6403" width="13.140625" style="1" customWidth="1"/>
    <col min="6404" max="6404" width="10" style="1" customWidth="1"/>
    <col min="6405" max="6405" width="14.140625" style="1" customWidth="1"/>
    <col min="6406" max="6406" width="9" style="1" customWidth="1"/>
    <col min="6407" max="6407" width="14.28515625" style="1" customWidth="1"/>
    <col min="6408" max="6408" width="4.85546875" style="1" customWidth="1"/>
    <col min="6409" max="6409" width="12.28515625" style="1" customWidth="1"/>
    <col min="6410" max="6410" width="9.28515625" style="1" customWidth="1"/>
    <col min="6411" max="6655" width="9.140625" style="1"/>
    <col min="6656" max="6656" width="1.28515625" style="1" customWidth="1"/>
    <col min="6657" max="6657" width="15.7109375" style="1" customWidth="1"/>
    <col min="6658" max="6658" width="9.140625" style="1"/>
    <col min="6659" max="6659" width="13.140625" style="1" customWidth="1"/>
    <col min="6660" max="6660" width="10" style="1" customWidth="1"/>
    <col min="6661" max="6661" width="14.140625" style="1" customWidth="1"/>
    <col min="6662" max="6662" width="9" style="1" customWidth="1"/>
    <col min="6663" max="6663" width="14.28515625" style="1" customWidth="1"/>
    <col min="6664" max="6664" width="4.85546875" style="1" customWidth="1"/>
    <col min="6665" max="6665" width="12.28515625" style="1" customWidth="1"/>
    <col min="6666" max="6666" width="9.28515625" style="1" customWidth="1"/>
    <col min="6667" max="6911" width="9.140625" style="1"/>
    <col min="6912" max="6912" width="1.28515625" style="1" customWidth="1"/>
    <col min="6913" max="6913" width="15.7109375" style="1" customWidth="1"/>
    <col min="6914" max="6914" width="9.140625" style="1"/>
    <col min="6915" max="6915" width="13.140625" style="1" customWidth="1"/>
    <col min="6916" max="6916" width="10" style="1" customWidth="1"/>
    <col min="6917" max="6917" width="14.140625" style="1" customWidth="1"/>
    <col min="6918" max="6918" width="9" style="1" customWidth="1"/>
    <col min="6919" max="6919" width="14.28515625" style="1" customWidth="1"/>
    <col min="6920" max="6920" width="4.85546875" style="1" customWidth="1"/>
    <col min="6921" max="6921" width="12.28515625" style="1" customWidth="1"/>
    <col min="6922" max="6922" width="9.28515625" style="1" customWidth="1"/>
    <col min="6923" max="7167" width="9.140625" style="1"/>
    <col min="7168" max="7168" width="1.28515625" style="1" customWidth="1"/>
    <col min="7169" max="7169" width="15.7109375" style="1" customWidth="1"/>
    <col min="7170" max="7170" width="9.140625" style="1"/>
    <col min="7171" max="7171" width="13.140625" style="1" customWidth="1"/>
    <col min="7172" max="7172" width="10" style="1" customWidth="1"/>
    <col min="7173" max="7173" width="14.140625" style="1" customWidth="1"/>
    <col min="7174" max="7174" width="9" style="1" customWidth="1"/>
    <col min="7175" max="7175" width="14.28515625" style="1" customWidth="1"/>
    <col min="7176" max="7176" width="4.85546875" style="1" customWidth="1"/>
    <col min="7177" max="7177" width="12.28515625" style="1" customWidth="1"/>
    <col min="7178" max="7178" width="9.28515625" style="1" customWidth="1"/>
    <col min="7179" max="7423" width="9.140625" style="1"/>
    <col min="7424" max="7424" width="1.28515625" style="1" customWidth="1"/>
    <col min="7425" max="7425" width="15.7109375" style="1" customWidth="1"/>
    <col min="7426" max="7426" width="9.140625" style="1"/>
    <col min="7427" max="7427" width="13.140625" style="1" customWidth="1"/>
    <col min="7428" max="7428" width="10" style="1" customWidth="1"/>
    <col min="7429" max="7429" width="14.140625" style="1" customWidth="1"/>
    <col min="7430" max="7430" width="9" style="1" customWidth="1"/>
    <col min="7431" max="7431" width="14.28515625" style="1" customWidth="1"/>
    <col min="7432" max="7432" width="4.85546875" style="1" customWidth="1"/>
    <col min="7433" max="7433" width="12.28515625" style="1" customWidth="1"/>
    <col min="7434" max="7434" width="9.28515625" style="1" customWidth="1"/>
    <col min="7435" max="7679" width="9.140625" style="1"/>
    <col min="7680" max="7680" width="1.28515625" style="1" customWidth="1"/>
    <col min="7681" max="7681" width="15.7109375" style="1" customWidth="1"/>
    <col min="7682" max="7682" width="9.140625" style="1"/>
    <col min="7683" max="7683" width="13.140625" style="1" customWidth="1"/>
    <col min="7684" max="7684" width="10" style="1" customWidth="1"/>
    <col min="7685" max="7685" width="14.140625" style="1" customWidth="1"/>
    <col min="7686" max="7686" width="9" style="1" customWidth="1"/>
    <col min="7687" max="7687" width="14.28515625" style="1" customWidth="1"/>
    <col min="7688" max="7688" width="4.85546875" style="1" customWidth="1"/>
    <col min="7689" max="7689" width="12.28515625" style="1" customWidth="1"/>
    <col min="7690" max="7690" width="9.28515625" style="1" customWidth="1"/>
    <col min="7691" max="7935" width="9.140625" style="1"/>
    <col min="7936" max="7936" width="1.28515625" style="1" customWidth="1"/>
    <col min="7937" max="7937" width="15.7109375" style="1" customWidth="1"/>
    <col min="7938" max="7938" width="9.140625" style="1"/>
    <col min="7939" max="7939" width="13.140625" style="1" customWidth="1"/>
    <col min="7940" max="7940" width="10" style="1" customWidth="1"/>
    <col min="7941" max="7941" width="14.140625" style="1" customWidth="1"/>
    <col min="7942" max="7942" width="9" style="1" customWidth="1"/>
    <col min="7943" max="7943" width="14.28515625" style="1" customWidth="1"/>
    <col min="7944" max="7944" width="4.85546875" style="1" customWidth="1"/>
    <col min="7945" max="7945" width="12.28515625" style="1" customWidth="1"/>
    <col min="7946" max="7946" width="9.28515625" style="1" customWidth="1"/>
    <col min="7947" max="8191" width="9.140625" style="1"/>
    <col min="8192" max="8192" width="1.28515625" style="1" customWidth="1"/>
    <col min="8193" max="8193" width="15.7109375" style="1" customWidth="1"/>
    <col min="8194" max="8194" width="9.140625" style="1"/>
    <col min="8195" max="8195" width="13.140625" style="1" customWidth="1"/>
    <col min="8196" max="8196" width="10" style="1" customWidth="1"/>
    <col min="8197" max="8197" width="14.140625" style="1" customWidth="1"/>
    <col min="8198" max="8198" width="9" style="1" customWidth="1"/>
    <col min="8199" max="8199" width="14.28515625" style="1" customWidth="1"/>
    <col min="8200" max="8200" width="4.85546875" style="1" customWidth="1"/>
    <col min="8201" max="8201" width="12.28515625" style="1" customWidth="1"/>
    <col min="8202" max="8202" width="9.28515625" style="1" customWidth="1"/>
    <col min="8203" max="8447" width="9.140625" style="1"/>
    <col min="8448" max="8448" width="1.28515625" style="1" customWidth="1"/>
    <col min="8449" max="8449" width="15.7109375" style="1" customWidth="1"/>
    <col min="8450" max="8450" width="9.140625" style="1"/>
    <col min="8451" max="8451" width="13.140625" style="1" customWidth="1"/>
    <col min="8452" max="8452" width="10" style="1" customWidth="1"/>
    <col min="8453" max="8453" width="14.140625" style="1" customWidth="1"/>
    <col min="8454" max="8454" width="9" style="1" customWidth="1"/>
    <col min="8455" max="8455" width="14.28515625" style="1" customWidth="1"/>
    <col min="8456" max="8456" width="4.85546875" style="1" customWidth="1"/>
    <col min="8457" max="8457" width="12.28515625" style="1" customWidth="1"/>
    <col min="8458" max="8458" width="9.28515625" style="1" customWidth="1"/>
    <col min="8459" max="8703" width="9.140625" style="1"/>
    <col min="8704" max="8704" width="1.28515625" style="1" customWidth="1"/>
    <col min="8705" max="8705" width="15.7109375" style="1" customWidth="1"/>
    <col min="8706" max="8706" width="9.140625" style="1"/>
    <col min="8707" max="8707" width="13.140625" style="1" customWidth="1"/>
    <col min="8708" max="8708" width="10" style="1" customWidth="1"/>
    <col min="8709" max="8709" width="14.140625" style="1" customWidth="1"/>
    <col min="8710" max="8710" width="9" style="1" customWidth="1"/>
    <col min="8711" max="8711" width="14.28515625" style="1" customWidth="1"/>
    <col min="8712" max="8712" width="4.85546875" style="1" customWidth="1"/>
    <col min="8713" max="8713" width="12.28515625" style="1" customWidth="1"/>
    <col min="8714" max="8714" width="9.28515625" style="1" customWidth="1"/>
    <col min="8715" max="8959" width="9.140625" style="1"/>
    <col min="8960" max="8960" width="1.28515625" style="1" customWidth="1"/>
    <col min="8961" max="8961" width="15.7109375" style="1" customWidth="1"/>
    <col min="8962" max="8962" width="9.140625" style="1"/>
    <col min="8963" max="8963" width="13.140625" style="1" customWidth="1"/>
    <col min="8964" max="8964" width="10" style="1" customWidth="1"/>
    <col min="8965" max="8965" width="14.140625" style="1" customWidth="1"/>
    <col min="8966" max="8966" width="9" style="1" customWidth="1"/>
    <col min="8967" max="8967" width="14.28515625" style="1" customWidth="1"/>
    <col min="8968" max="8968" width="4.85546875" style="1" customWidth="1"/>
    <col min="8969" max="8969" width="12.28515625" style="1" customWidth="1"/>
    <col min="8970" max="8970" width="9.28515625" style="1" customWidth="1"/>
    <col min="8971" max="9215" width="9.140625" style="1"/>
    <col min="9216" max="9216" width="1.28515625" style="1" customWidth="1"/>
    <col min="9217" max="9217" width="15.7109375" style="1" customWidth="1"/>
    <col min="9218" max="9218" width="9.140625" style="1"/>
    <col min="9219" max="9219" width="13.140625" style="1" customWidth="1"/>
    <col min="9220" max="9220" width="10" style="1" customWidth="1"/>
    <col min="9221" max="9221" width="14.140625" style="1" customWidth="1"/>
    <col min="9222" max="9222" width="9" style="1" customWidth="1"/>
    <col min="9223" max="9223" width="14.28515625" style="1" customWidth="1"/>
    <col min="9224" max="9224" width="4.85546875" style="1" customWidth="1"/>
    <col min="9225" max="9225" width="12.28515625" style="1" customWidth="1"/>
    <col min="9226" max="9226" width="9.28515625" style="1" customWidth="1"/>
    <col min="9227" max="9471" width="9.140625" style="1"/>
    <col min="9472" max="9472" width="1.28515625" style="1" customWidth="1"/>
    <col min="9473" max="9473" width="15.7109375" style="1" customWidth="1"/>
    <col min="9474" max="9474" width="9.140625" style="1"/>
    <col min="9475" max="9475" width="13.140625" style="1" customWidth="1"/>
    <col min="9476" max="9476" width="10" style="1" customWidth="1"/>
    <col min="9477" max="9477" width="14.140625" style="1" customWidth="1"/>
    <col min="9478" max="9478" width="9" style="1" customWidth="1"/>
    <col min="9479" max="9479" width="14.28515625" style="1" customWidth="1"/>
    <col min="9480" max="9480" width="4.85546875" style="1" customWidth="1"/>
    <col min="9481" max="9481" width="12.28515625" style="1" customWidth="1"/>
    <col min="9482" max="9482" width="9.28515625" style="1" customWidth="1"/>
    <col min="9483" max="9727" width="9.140625" style="1"/>
    <col min="9728" max="9728" width="1.28515625" style="1" customWidth="1"/>
    <col min="9729" max="9729" width="15.7109375" style="1" customWidth="1"/>
    <col min="9730" max="9730" width="9.140625" style="1"/>
    <col min="9731" max="9731" width="13.140625" style="1" customWidth="1"/>
    <col min="9732" max="9732" width="10" style="1" customWidth="1"/>
    <col min="9733" max="9733" width="14.140625" style="1" customWidth="1"/>
    <col min="9734" max="9734" width="9" style="1" customWidth="1"/>
    <col min="9735" max="9735" width="14.28515625" style="1" customWidth="1"/>
    <col min="9736" max="9736" width="4.85546875" style="1" customWidth="1"/>
    <col min="9737" max="9737" width="12.28515625" style="1" customWidth="1"/>
    <col min="9738" max="9738" width="9.28515625" style="1" customWidth="1"/>
    <col min="9739" max="9983" width="9.140625" style="1"/>
    <col min="9984" max="9984" width="1.28515625" style="1" customWidth="1"/>
    <col min="9985" max="9985" width="15.7109375" style="1" customWidth="1"/>
    <col min="9986" max="9986" width="9.140625" style="1"/>
    <col min="9987" max="9987" width="13.140625" style="1" customWidth="1"/>
    <col min="9988" max="9988" width="10" style="1" customWidth="1"/>
    <col min="9989" max="9989" width="14.140625" style="1" customWidth="1"/>
    <col min="9990" max="9990" width="9" style="1" customWidth="1"/>
    <col min="9991" max="9991" width="14.28515625" style="1" customWidth="1"/>
    <col min="9992" max="9992" width="4.85546875" style="1" customWidth="1"/>
    <col min="9993" max="9993" width="12.28515625" style="1" customWidth="1"/>
    <col min="9994" max="9994" width="9.28515625" style="1" customWidth="1"/>
    <col min="9995" max="10239" width="9.140625" style="1"/>
    <col min="10240" max="10240" width="1.28515625" style="1" customWidth="1"/>
    <col min="10241" max="10241" width="15.7109375" style="1" customWidth="1"/>
    <col min="10242" max="10242" width="9.140625" style="1"/>
    <col min="10243" max="10243" width="13.140625" style="1" customWidth="1"/>
    <col min="10244" max="10244" width="10" style="1" customWidth="1"/>
    <col min="10245" max="10245" width="14.140625" style="1" customWidth="1"/>
    <col min="10246" max="10246" width="9" style="1" customWidth="1"/>
    <col min="10247" max="10247" width="14.28515625" style="1" customWidth="1"/>
    <col min="10248" max="10248" width="4.85546875" style="1" customWidth="1"/>
    <col min="10249" max="10249" width="12.28515625" style="1" customWidth="1"/>
    <col min="10250" max="10250" width="9.28515625" style="1" customWidth="1"/>
    <col min="10251" max="10495" width="9.140625" style="1"/>
    <col min="10496" max="10496" width="1.28515625" style="1" customWidth="1"/>
    <col min="10497" max="10497" width="15.7109375" style="1" customWidth="1"/>
    <col min="10498" max="10498" width="9.140625" style="1"/>
    <col min="10499" max="10499" width="13.140625" style="1" customWidth="1"/>
    <col min="10500" max="10500" width="10" style="1" customWidth="1"/>
    <col min="10501" max="10501" width="14.140625" style="1" customWidth="1"/>
    <col min="10502" max="10502" width="9" style="1" customWidth="1"/>
    <col min="10503" max="10503" width="14.28515625" style="1" customWidth="1"/>
    <col min="10504" max="10504" width="4.85546875" style="1" customWidth="1"/>
    <col min="10505" max="10505" width="12.28515625" style="1" customWidth="1"/>
    <col min="10506" max="10506" width="9.28515625" style="1" customWidth="1"/>
    <col min="10507" max="10751" width="9.140625" style="1"/>
    <col min="10752" max="10752" width="1.28515625" style="1" customWidth="1"/>
    <col min="10753" max="10753" width="15.7109375" style="1" customWidth="1"/>
    <col min="10754" max="10754" width="9.140625" style="1"/>
    <col min="10755" max="10755" width="13.140625" style="1" customWidth="1"/>
    <col min="10756" max="10756" width="10" style="1" customWidth="1"/>
    <col min="10757" max="10757" width="14.140625" style="1" customWidth="1"/>
    <col min="10758" max="10758" width="9" style="1" customWidth="1"/>
    <col min="10759" max="10759" width="14.28515625" style="1" customWidth="1"/>
    <col min="10760" max="10760" width="4.85546875" style="1" customWidth="1"/>
    <col min="10761" max="10761" width="12.28515625" style="1" customWidth="1"/>
    <col min="10762" max="10762" width="9.28515625" style="1" customWidth="1"/>
    <col min="10763" max="11007" width="9.140625" style="1"/>
    <col min="11008" max="11008" width="1.28515625" style="1" customWidth="1"/>
    <col min="11009" max="11009" width="15.7109375" style="1" customWidth="1"/>
    <col min="11010" max="11010" width="9.140625" style="1"/>
    <col min="11011" max="11011" width="13.140625" style="1" customWidth="1"/>
    <col min="11012" max="11012" width="10" style="1" customWidth="1"/>
    <col min="11013" max="11013" width="14.140625" style="1" customWidth="1"/>
    <col min="11014" max="11014" width="9" style="1" customWidth="1"/>
    <col min="11015" max="11015" width="14.28515625" style="1" customWidth="1"/>
    <col min="11016" max="11016" width="4.85546875" style="1" customWidth="1"/>
    <col min="11017" max="11017" width="12.28515625" style="1" customWidth="1"/>
    <col min="11018" max="11018" width="9.28515625" style="1" customWidth="1"/>
    <col min="11019" max="11263" width="9.140625" style="1"/>
    <col min="11264" max="11264" width="1.28515625" style="1" customWidth="1"/>
    <col min="11265" max="11265" width="15.7109375" style="1" customWidth="1"/>
    <col min="11266" max="11266" width="9.140625" style="1"/>
    <col min="11267" max="11267" width="13.140625" style="1" customWidth="1"/>
    <col min="11268" max="11268" width="10" style="1" customWidth="1"/>
    <col min="11269" max="11269" width="14.140625" style="1" customWidth="1"/>
    <col min="11270" max="11270" width="9" style="1" customWidth="1"/>
    <col min="11271" max="11271" width="14.28515625" style="1" customWidth="1"/>
    <col min="11272" max="11272" width="4.85546875" style="1" customWidth="1"/>
    <col min="11273" max="11273" width="12.28515625" style="1" customWidth="1"/>
    <col min="11274" max="11274" width="9.28515625" style="1" customWidth="1"/>
    <col min="11275" max="11519" width="9.140625" style="1"/>
    <col min="11520" max="11520" width="1.28515625" style="1" customWidth="1"/>
    <col min="11521" max="11521" width="15.7109375" style="1" customWidth="1"/>
    <col min="11522" max="11522" width="9.140625" style="1"/>
    <col min="11523" max="11523" width="13.140625" style="1" customWidth="1"/>
    <col min="11524" max="11524" width="10" style="1" customWidth="1"/>
    <col min="11525" max="11525" width="14.140625" style="1" customWidth="1"/>
    <col min="11526" max="11526" width="9" style="1" customWidth="1"/>
    <col min="11527" max="11527" width="14.28515625" style="1" customWidth="1"/>
    <col min="11528" max="11528" width="4.85546875" style="1" customWidth="1"/>
    <col min="11529" max="11529" width="12.28515625" style="1" customWidth="1"/>
    <col min="11530" max="11530" width="9.28515625" style="1" customWidth="1"/>
    <col min="11531" max="11775" width="9.140625" style="1"/>
    <col min="11776" max="11776" width="1.28515625" style="1" customWidth="1"/>
    <col min="11777" max="11777" width="15.7109375" style="1" customWidth="1"/>
    <col min="11778" max="11778" width="9.140625" style="1"/>
    <col min="11779" max="11779" width="13.140625" style="1" customWidth="1"/>
    <col min="11780" max="11780" width="10" style="1" customWidth="1"/>
    <col min="11781" max="11781" width="14.140625" style="1" customWidth="1"/>
    <col min="11782" max="11782" width="9" style="1" customWidth="1"/>
    <col min="11783" max="11783" width="14.28515625" style="1" customWidth="1"/>
    <col min="11784" max="11784" width="4.85546875" style="1" customWidth="1"/>
    <col min="11785" max="11785" width="12.28515625" style="1" customWidth="1"/>
    <col min="11786" max="11786" width="9.28515625" style="1" customWidth="1"/>
    <col min="11787" max="12031" width="9.140625" style="1"/>
    <col min="12032" max="12032" width="1.28515625" style="1" customWidth="1"/>
    <col min="12033" max="12033" width="15.7109375" style="1" customWidth="1"/>
    <col min="12034" max="12034" width="9.140625" style="1"/>
    <col min="12035" max="12035" width="13.140625" style="1" customWidth="1"/>
    <col min="12036" max="12036" width="10" style="1" customWidth="1"/>
    <col min="12037" max="12037" width="14.140625" style="1" customWidth="1"/>
    <col min="12038" max="12038" width="9" style="1" customWidth="1"/>
    <col min="12039" max="12039" width="14.28515625" style="1" customWidth="1"/>
    <col min="12040" max="12040" width="4.85546875" style="1" customWidth="1"/>
    <col min="12041" max="12041" width="12.28515625" style="1" customWidth="1"/>
    <col min="12042" max="12042" width="9.28515625" style="1" customWidth="1"/>
    <col min="12043" max="12287" width="9.140625" style="1"/>
    <col min="12288" max="12288" width="1.28515625" style="1" customWidth="1"/>
    <col min="12289" max="12289" width="15.7109375" style="1" customWidth="1"/>
    <col min="12290" max="12290" width="9.140625" style="1"/>
    <col min="12291" max="12291" width="13.140625" style="1" customWidth="1"/>
    <col min="12292" max="12292" width="10" style="1" customWidth="1"/>
    <col min="12293" max="12293" width="14.140625" style="1" customWidth="1"/>
    <col min="12294" max="12294" width="9" style="1" customWidth="1"/>
    <col min="12295" max="12295" width="14.28515625" style="1" customWidth="1"/>
    <col min="12296" max="12296" width="4.85546875" style="1" customWidth="1"/>
    <col min="12297" max="12297" width="12.28515625" style="1" customWidth="1"/>
    <col min="12298" max="12298" width="9.28515625" style="1" customWidth="1"/>
    <col min="12299" max="12543" width="9.140625" style="1"/>
    <col min="12544" max="12544" width="1.28515625" style="1" customWidth="1"/>
    <col min="12545" max="12545" width="15.7109375" style="1" customWidth="1"/>
    <col min="12546" max="12546" width="9.140625" style="1"/>
    <col min="12547" max="12547" width="13.140625" style="1" customWidth="1"/>
    <col min="12548" max="12548" width="10" style="1" customWidth="1"/>
    <col min="12549" max="12549" width="14.140625" style="1" customWidth="1"/>
    <col min="12550" max="12550" width="9" style="1" customWidth="1"/>
    <col min="12551" max="12551" width="14.28515625" style="1" customWidth="1"/>
    <col min="12552" max="12552" width="4.85546875" style="1" customWidth="1"/>
    <col min="12553" max="12553" width="12.28515625" style="1" customWidth="1"/>
    <col min="12554" max="12554" width="9.28515625" style="1" customWidth="1"/>
    <col min="12555" max="12799" width="9.140625" style="1"/>
    <col min="12800" max="12800" width="1.28515625" style="1" customWidth="1"/>
    <col min="12801" max="12801" width="15.7109375" style="1" customWidth="1"/>
    <col min="12802" max="12802" width="9.140625" style="1"/>
    <col min="12803" max="12803" width="13.140625" style="1" customWidth="1"/>
    <col min="12804" max="12804" width="10" style="1" customWidth="1"/>
    <col min="12805" max="12805" width="14.140625" style="1" customWidth="1"/>
    <col min="12806" max="12806" width="9" style="1" customWidth="1"/>
    <col min="12807" max="12807" width="14.28515625" style="1" customWidth="1"/>
    <col min="12808" max="12808" width="4.85546875" style="1" customWidth="1"/>
    <col min="12809" max="12809" width="12.28515625" style="1" customWidth="1"/>
    <col min="12810" max="12810" width="9.28515625" style="1" customWidth="1"/>
    <col min="12811" max="13055" width="9.140625" style="1"/>
    <col min="13056" max="13056" width="1.28515625" style="1" customWidth="1"/>
    <col min="13057" max="13057" width="15.7109375" style="1" customWidth="1"/>
    <col min="13058" max="13058" width="9.140625" style="1"/>
    <col min="13059" max="13059" width="13.140625" style="1" customWidth="1"/>
    <col min="13060" max="13060" width="10" style="1" customWidth="1"/>
    <col min="13061" max="13061" width="14.140625" style="1" customWidth="1"/>
    <col min="13062" max="13062" width="9" style="1" customWidth="1"/>
    <col min="13063" max="13063" width="14.28515625" style="1" customWidth="1"/>
    <col min="13064" max="13064" width="4.85546875" style="1" customWidth="1"/>
    <col min="13065" max="13065" width="12.28515625" style="1" customWidth="1"/>
    <col min="13066" max="13066" width="9.28515625" style="1" customWidth="1"/>
    <col min="13067" max="13311" width="9.140625" style="1"/>
    <col min="13312" max="13312" width="1.28515625" style="1" customWidth="1"/>
    <col min="13313" max="13313" width="15.7109375" style="1" customWidth="1"/>
    <col min="13314" max="13314" width="9.140625" style="1"/>
    <col min="13315" max="13315" width="13.140625" style="1" customWidth="1"/>
    <col min="13316" max="13316" width="10" style="1" customWidth="1"/>
    <col min="13317" max="13317" width="14.140625" style="1" customWidth="1"/>
    <col min="13318" max="13318" width="9" style="1" customWidth="1"/>
    <col min="13319" max="13319" width="14.28515625" style="1" customWidth="1"/>
    <col min="13320" max="13320" width="4.85546875" style="1" customWidth="1"/>
    <col min="13321" max="13321" width="12.28515625" style="1" customWidth="1"/>
    <col min="13322" max="13322" width="9.28515625" style="1" customWidth="1"/>
    <col min="13323" max="13567" width="9.140625" style="1"/>
    <col min="13568" max="13568" width="1.28515625" style="1" customWidth="1"/>
    <col min="13569" max="13569" width="15.7109375" style="1" customWidth="1"/>
    <col min="13570" max="13570" width="9.140625" style="1"/>
    <col min="13571" max="13571" width="13.140625" style="1" customWidth="1"/>
    <col min="13572" max="13572" width="10" style="1" customWidth="1"/>
    <col min="13573" max="13573" width="14.140625" style="1" customWidth="1"/>
    <col min="13574" max="13574" width="9" style="1" customWidth="1"/>
    <col min="13575" max="13575" width="14.28515625" style="1" customWidth="1"/>
    <col min="13576" max="13576" width="4.85546875" style="1" customWidth="1"/>
    <col min="13577" max="13577" width="12.28515625" style="1" customWidth="1"/>
    <col min="13578" max="13578" width="9.28515625" style="1" customWidth="1"/>
    <col min="13579" max="13823" width="9.140625" style="1"/>
    <col min="13824" max="13824" width="1.28515625" style="1" customWidth="1"/>
    <col min="13825" max="13825" width="15.7109375" style="1" customWidth="1"/>
    <col min="13826" max="13826" width="9.140625" style="1"/>
    <col min="13827" max="13827" width="13.140625" style="1" customWidth="1"/>
    <col min="13828" max="13828" width="10" style="1" customWidth="1"/>
    <col min="13829" max="13829" width="14.140625" style="1" customWidth="1"/>
    <col min="13830" max="13830" width="9" style="1" customWidth="1"/>
    <col min="13831" max="13831" width="14.28515625" style="1" customWidth="1"/>
    <col min="13832" max="13832" width="4.85546875" style="1" customWidth="1"/>
    <col min="13833" max="13833" width="12.28515625" style="1" customWidth="1"/>
    <col min="13834" max="13834" width="9.28515625" style="1" customWidth="1"/>
    <col min="13835" max="14079" width="9.140625" style="1"/>
    <col min="14080" max="14080" width="1.28515625" style="1" customWidth="1"/>
    <col min="14081" max="14081" width="15.7109375" style="1" customWidth="1"/>
    <col min="14082" max="14082" width="9.140625" style="1"/>
    <col min="14083" max="14083" width="13.140625" style="1" customWidth="1"/>
    <col min="14084" max="14084" width="10" style="1" customWidth="1"/>
    <col min="14085" max="14085" width="14.140625" style="1" customWidth="1"/>
    <col min="14086" max="14086" width="9" style="1" customWidth="1"/>
    <col min="14087" max="14087" width="14.28515625" style="1" customWidth="1"/>
    <col min="14088" max="14088" width="4.85546875" style="1" customWidth="1"/>
    <col min="14089" max="14089" width="12.28515625" style="1" customWidth="1"/>
    <col min="14090" max="14090" width="9.28515625" style="1" customWidth="1"/>
    <col min="14091" max="14335" width="9.140625" style="1"/>
    <col min="14336" max="14336" width="1.28515625" style="1" customWidth="1"/>
    <col min="14337" max="14337" width="15.7109375" style="1" customWidth="1"/>
    <col min="14338" max="14338" width="9.140625" style="1"/>
    <col min="14339" max="14339" width="13.140625" style="1" customWidth="1"/>
    <col min="14340" max="14340" width="10" style="1" customWidth="1"/>
    <col min="14341" max="14341" width="14.140625" style="1" customWidth="1"/>
    <col min="14342" max="14342" width="9" style="1" customWidth="1"/>
    <col min="14343" max="14343" width="14.28515625" style="1" customWidth="1"/>
    <col min="14344" max="14344" width="4.85546875" style="1" customWidth="1"/>
    <col min="14345" max="14345" width="12.28515625" style="1" customWidth="1"/>
    <col min="14346" max="14346" width="9.28515625" style="1" customWidth="1"/>
    <col min="14347" max="14591" width="9.140625" style="1"/>
    <col min="14592" max="14592" width="1.28515625" style="1" customWidth="1"/>
    <col min="14593" max="14593" width="15.7109375" style="1" customWidth="1"/>
    <col min="14594" max="14594" width="9.140625" style="1"/>
    <col min="14595" max="14595" width="13.140625" style="1" customWidth="1"/>
    <col min="14596" max="14596" width="10" style="1" customWidth="1"/>
    <col min="14597" max="14597" width="14.140625" style="1" customWidth="1"/>
    <col min="14598" max="14598" width="9" style="1" customWidth="1"/>
    <col min="14599" max="14599" width="14.28515625" style="1" customWidth="1"/>
    <col min="14600" max="14600" width="4.85546875" style="1" customWidth="1"/>
    <col min="14601" max="14601" width="12.28515625" style="1" customWidth="1"/>
    <col min="14602" max="14602" width="9.28515625" style="1" customWidth="1"/>
    <col min="14603" max="14847" width="9.140625" style="1"/>
    <col min="14848" max="14848" width="1.28515625" style="1" customWidth="1"/>
    <col min="14849" max="14849" width="15.7109375" style="1" customWidth="1"/>
    <col min="14850" max="14850" width="9.140625" style="1"/>
    <col min="14851" max="14851" width="13.140625" style="1" customWidth="1"/>
    <col min="14852" max="14852" width="10" style="1" customWidth="1"/>
    <col min="14853" max="14853" width="14.140625" style="1" customWidth="1"/>
    <col min="14854" max="14854" width="9" style="1" customWidth="1"/>
    <col min="14855" max="14855" width="14.28515625" style="1" customWidth="1"/>
    <col min="14856" max="14856" width="4.85546875" style="1" customWidth="1"/>
    <col min="14857" max="14857" width="12.28515625" style="1" customWidth="1"/>
    <col min="14858" max="14858" width="9.28515625" style="1" customWidth="1"/>
    <col min="14859" max="15103" width="9.140625" style="1"/>
    <col min="15104" max="15104" width="1.28515625" style="1" customWidth="1"/>
    <col min="15105" max="15105" width="15.7109375" style="1" customWidth="1"/>
    <col min="15106" max="15106" width="9.140625" style="1"/>
    <col min="15107" max="15107" width="13.140625" style="1" customWidth="1"/>
    <col min="15108" max="15108" width="10" style="1" customWidth="1"/>
    <col min="15109" max="15109" width="14.140625" style="1" customWidth="1"/>
    <col min="15110" max="15110" width="9" style="1" customWidth="1"/>
    <col min="15111" max="15111" width="14.28515625" style="1" customWidth="1"/>
    <col min="15112" max="15112" width="4.85546875" style="1" customWidth="1"/>
    <col min="15113" max="15113" width="12.28515625" style="1" customWidth="1"/>
    <col min="15114" max="15114" width="9.28515625" style="1" customWidth="1"/>
    <col min="15115" max="15359" width="9.140625" style="1"/>
    <col min="15360" max="15360" width="1.28515625" style="1" customWidth="1"/>
    <col min="15361" max="15361" width="15.7109375" style="1" customWidth="1"/>
    <col min="15362" max="15362" width="9.140625" style="1"/>
    <col min="15363" max="15363" width="13.140625" style="1" customWidth="1"/>
    <col min="15364" max="15364" width="10" style="1" customWidth="1"/>
    <col min="15365" max="15365" width="14.140625" style="1" customWidth="1"/>
    <col min="15366" max="15366" width="9" style="1" customWidth="1"/>
    <col min="15367" max="15367" width="14.28515625" style="1" customWidth="1"/>
    <col min="15368" max="15368" width="4.85546875" style="1" customWidth="1"/>
    <col min="15369" max="15369" width="12.28515625" style="1" customWidth="1"/>
    <col min="15370" max="15370" width="9.28515625" style="1" customWidth="1"/>
    <col min="15371" max="15615" width="9.140625" style="1"/>
    <col min="15616" max="15616" width="1.28515625" style="1" customWidth="1"/>
    <col min="15617" max="15617" width="15.7109375" style="1" customWidth="1"/>
    <col min="15618" max="15618" width="9.140625" style="1"/>
    <col min="15619" max="15619" width="13.140625" style="1" customWidth="1"/>
    <col min="15620" max="15620" width="10" style="1" customWidth="1"/>
    <col min="15621" max="15621" width="14.140625" style="1" customWidth="1"/>
    <col min="15622" max="15622" width="9" style="1" customWidth="1"/>
    <col min="15623" max="15623" width="14.28515625" style="1" customWidth="1"/>
    <col min="15624" max="15624" width="4.85546875" style="1" customWidth="1"/>
    <col min="15625" max="15625" width="12.28515625" style="1" customWidth="1"/>
    <col min="15626" max="15626" width="9.28515625" style="1" customWidth="1"/>
    <col min="15627" max="15871" width="9.140625" style="1"/>
    <col min="15872" max="15872" width="1.28515625" style="1" customWidth="1"/>
    <col min="15873" max="15873" width="15.7109375" style="1" customWidth="1"/>
    <col min="15874" max="15874" width="9.140625" style="1"/>
    <col min="15875" max="15875" width="13.140625" style="1" customWidth="1"/>
    <col min="15876" max="15876" width="10" style="1" customWidth="1"/>
    <col min="15877" max="15877" width="14.140625" style="1" customWidth="1"/>
    <col min="15878" max="15878" width="9" style="1" customWidth="1"/>
    <col min="15879" max="15879" width="14.28515625" style="1" customWidth="1"/>
    <col min="15880" max="15880" width="4.85546875" style="1" customWidth="1"/>
    <col min="15881" max="15881" width="12.28515625" style="1" customWidth="1"/>
    <col min="15882" max="15882" width="9.28515625" style="1" customWidth="1"/>
    <col min="15883" max="16127" width="9.140625" style="1"/>
    <col min="16128" max="16128" width="1.28515625" style="1" customWidth="1"/>
    <col min="16129" max="16129" width="15.7109375" style="1" customWidth="1"/>
    <col min="16130" max="16130" width="9.140625" style="1"/>
    <col min="16131" max="16131" width="13.140625" style="1" customWidth="1"/>
    <col min="16132" max="16132" width="10" style="1" customWidth="1"/>
    <col min="16133" max="16133" width="14.140625" style="1" customWidth="1"/>
    <col min="16134" max="16134" width="9" style="1" customWidth="1"/>
    <col min="16135" max="16135" width="14.28515625" style="1" customWidth="1"/>
    <col min="16136" max="16136" width="4.85546875" style="1" customWidth="1"/>
    <col min="16137" max="16137" width="12.28515625" style="1" customWidth="1"/>
    <col min="16138" max="16138" width="9.28515625" style="1" customWidth="1"/>
    <col min="16139" max="16384" width="9.140625" style="1"/>
  </cols>
  <sheetData>
    <row r="2" spans="2:9" ht="17.25" customHeight="1" x14ac:dyDescent="0.25">
      <c r="B2" s="257" t="str">
        <f>"Себестоимость производства от "&amp;Введение!J6&amp;""</f>
        <v>Себестоимость производства от Январь, 2014</v>
      </c>
      <c r="C2" s="258"/>
      <c r="D2" s="258"/>
      <c r="E2" s="258"/>
      <c r="F2" s="258"/>
      <c r="G2" s="258"/>
      <c r="H2" s="258"/>
      <c r="I2" s="258"/>
    </row>
    <row r="3" spans="2:9" ht="15" customHeight="1" x14ac:dyDescent="0.25">
      <c r="B3" s="257" t="str">
        <f>"На основании стада из "&amp;'Ввод данных'!E14&amp;" коров(а/ы)"</f>
        <v>На основании стада из 500 коров(а/ы)</v>
      </c>
      <c r="C3" s="259"/>
      <c r="D3" s="259"/>
      <c r="E3" s="259"/>
      <c r="F3" s="259"/>
      <c r="G3" s="259"/>
      <c r="H3" s="259"/>
      <c r="I3" s="259"/>
    </row>
    <row r="4" spans="2:9" ht="8.25" customHeight="1" x14ac:dyDescent="0.25">
      <c r="B4" s="2"/>
      <c r="C4" s="2"/>
      <c r="D4" s="2"/>
      <c r="E4" s="2"/>
      <c r="F4" s="2"/>
      <c r="G4" s="2"/>
      <c r="H4" s="2"/>
      <c r="I4" s="2"/>
    </row>
    <row r="5" spans="2:9" ht="15" customHeight="1" x14ac:dyDescent="0.25">
      <c r="B5" s="3" t="s">
        <v>12</v>
      </c>
      <c r="C5" s="4"/>
      <c r="D5" s="4"/>
      <c r="E5" s="262" t="s">
        <v>228</v>
      </c>
      <c r="F5" s="262"/>
      <c r="G5" s="262"/>
      <c r="H5" s="69" t="s">
        <v>15</v>
      </c>
      <c r="I5" s="7"/>
    </row>
    <row r="6" spans="2:9" ht="15" customHeight="1" x14ac:dyDescent="0.25">
      <c r="B6" s="3" t="s">
        <v>13</v>
      </c>
      <c r="C6" s="4"/>
      <c r="D6" s="4"/>
      <c r="E6" s="4"/>
      <c r="F6" s="8"/>
      <c r="G6" s="4"/>
      <c r="H6" s="9"/>
      <c r="I6" s="9"/>
    </row>
    <row r="7" spans="2:9" ht="15" customHeight="1" x14ac:dyDescent="0.25">
      <c r="B7" s="4" t="s">
        <v>324</v>
      </c>
      <c r="C7" s="4"/>
      <c r="D7" s="4"/>
      <c r="E7" s="4"/>
      <c r="F7" s="102">
        <f>Детали!F26</f>
        <v>28000</v>
      </c>
      <c r="G7" s="4"/>
      <c r="H7" s="102">
        <f>ROUND(F7*'Ввод данных'!$E$14,0)</f>
        <v>14000000</v>
      </c>
      <c r="I7" s="11"/>
    </row>
    <row r="8" spans="2:9" ht="15" customHeight="1" x14ac:dyDescent="0.25">
      <c r="B8" s="4" t="s">
        <v>8</v>
      </c>
      <c r="C8" s="4"/>
      <c r="D8" s="4"/>
      <c r="E8" s="4"/>
      <c r="F8" s="102">
        <f>Детали!F36</f>
        <v>40800</v>
      </c>
      <c r="G8" s="4"/>
      <c r="H8" s="102">
        <f>ROUND(F8*'Ввод данных'!$E$14,0)</f>
        <v>20400000</v>
      </c>
      <c r="I8" s="11"/>
    </row>
    <row r="9" spans="2:9" ht="15" customHeight="1" x14ac:dyDescent="0.25">
      <c r="B9" s="4" t="s">
        <v>9</v>
      </c>
      <c r="C9" s="4"/>
      <c r="D9" s="4"/>
      <c r="E9" s="4"/>
      <c r="F9" s="148">
        <f>Детали!F45</f>
        <v>1733.5999999999997</v>
      </c>
      <c r="G9" s="12"/>
      <c r="H9" s="102">
        <f>ROUND(F9*'Ввод данных'!$E$14,0)</f>
        <v>866800</v>
      </c>
      <c r="I9" s="13"/>
    </row>
    <row r="10" spans="2:9" ht="15" customHeight="1" x14ac:dyDescent="0.25">
      <c r="B10" s="4" t="s">
        <v>262</v>
      </c>
      <c r="C10" s="4"/>
      <c r="D10" s="4"/>
      <c r="E10" s="4"/>
      <c r="F10" s="148">
        <f>Детали!F54</f>
        <v>10680</v>
      </c>
      <c r="G10" s="12"/>
      <c r="H10" s="102">
        <f>ROUND(F10*'Ввод данных'!$E$14,0)</f>
        <v>5340000</v>
      </c>
      <c r="I10" s="13"/>
    </row>
    <row r="11" spans="2:9" ht="15" customHeight="1" x14ac:dyDescent="0.25">
      <c r="B11" s="4" t="s">
        <v>263</v>
      </c>
      <c r="C11" s="4"/>
      <c r="D11" s="4"/>
      <c r="E11" s="4"/>
      <c r="F11" s="148">
        <f>Детали!F63</f>
        <v>20550</v>
      </c>
      <c r="G11" s="12"/>
      <c r="H11" s="102">
        <f>ROUND(F11*'Ввод данных'!$E$14,0)</f>
        <v>10275000</v>
      </c>
      <c r="I11" s="13"/>
    </row>
    <row r="12" spans="2:9" ht="15" customHeight="1" x14ac:dyDescent="0.35">
      <c r="B12" s="4" t="s">
        <v>264</v>
      </c>
      <c r="C12" s="4"/>
      <c r="D12" s="4"/>
      <c r="E12" s="4"/>
      <c r="F12" s="149">
        <f>Детали!F72</f>
        <v>6000</v>
      </c>
      <c r="G12" s="12"/>
      <c r="H12" s="130">
        <f>ROUND(F12*'Ввод данных'!$E$14,0)</f>
        <v>3000000</v>
      </c>
      <c r="I12" s="13"/>
    </row>
    <row r="13" spans="2:9" ht="15" customHeight="1" x14ac:dyDescent="0.25">
      <c r="B13" s="14" t="s">
        <v>10</v>
      </c>
      <c r="C13" s="4"/>
      <c r="D13" s="4"/>
      <c r="E13" s="4"/>
      <c r="F13" s="100">
        <f>SUM(F7:F12)</f>
        <v>107763.6</v>
      </c>
      <c r="G13" s="14"/>
      <c r="H13" s="100">
        <f>SUM(H7:H9)</f>
        <v>35266800</v>
      </c>
      <c r="I13" s="15"/>
    </row>
    <row r="14" spans="2:9" ht="8.1" customHeight="1" x14ac:dyDescent="0.25">
      <c r="B14" s="14"/>
      <c r="C14" s="4"/>
      <c r="D14" s="4"/>
      <c r="E14" s="4"/>
      <c r="F14" s="104"/>
      <c r="G14" s="14"/>
      <c r="H14" s="104"/>
      <c r="I14" s="15"/>
    </row>
    <row r="15" spans="2:9" ht="15" customHeight="1" x14ac:dyDescent="0.25">
      <c r="B15" s="3" t="s">
        <v>16</v>
      </c>
      <c r="C15" s="4"/>
      <c r="D15" s="4"/>
      <c r="E15" s="4"/>
      <c r="F15" s="105" t="s">
        <v>0</v>
      </c>
      <c r="G15" s="4"/>
      <c r="H15" s="105"/>
      <c r="I15" s="4"/>
    </row>
    <row r="16" spans="2:9" ht="15" customHeight="1" x14ac:dyDescent="0.25">
      <c r="B16" s="4" t="s">
        <v>17</v>
      </c>
      <c r="C16" s="4"/>
      <c r="D16" s="4"/>
      <c r="E16" s="4"/>
      <c r="F16" s="102">
        <f>Детали!F93</f>
        <v>10528</v>
      </c>
      <c r="G16" s="4"/>
      <c r="H16" s="102">
        <f>ROUND(F16*'Ввод данных'!$E$14,0)</f>
        <v>5264000</v>
      </c>
      <c r="I16" s="4"/>
    </row>
    <row r="17" spans="2:14" ht="15" customHeight="1" x14ac:dyDescent="0.25">
      <c r="B17" s="4" t="s">
        <v>18</v>
      </c>
      <c r="C17" s="4"/>
      <c r="D17" s="4"/>
      <c r="E17" s="4"/>
      <c r="F17" s="102">
        <f>Детали!F121</f>
        <v>2110.4</v>
      </c>
      <c r="G17" s="4"/>
      <c r="H17" s="102">
        <f>ROUND(F17*'Ввод данных'!$E$14,0)</f>
        <v>1055200</v>
      </c>
      <c r="I17" s="4"/>
    </row>
    <row r="18" spans="2:14" ht="15" customHeight="1" x14ac:dyDescent="0.25">
      <c r="B18" s="4" t="s">
        <v>108</v>
      </c>
      <c r="C18" s="4"/>
      <c r="D18" s="4"/>
      <c r="E18" s="4"/>
      <c r="F18" s="102">
        <f>Детали!F200</f>
        <v>14883.78</v>
      </c>
      <c r="G18" s="4"/>
      <c r="H18" s="102">
        <f>ROUND(F18*'Ввод данных'!$E$14,0)</f>
        <v>7441890</v>
      </c>
      <c r="I18" s="4"/>
    </row>
    <row r="19" spans="2:14" ht="15" customHeight="1" x14ac:dyDescent="0.25">
      <c r="B19" s="4" t="s">
        <v>19</v>
      </c>
      <c r="C19" s="4"/>
      <c r="D19" s="4"/>
      <c r="E19" s="4"/>
      <c r="F19" s="102">
        <f>Детали!F214</f>
        <v>1455.3</v>
      </c>
      <c r="G19" s="4"/>
      <c r="H19" s="102">
        <f>ROUND(F19*'Ввод данных'!$E$14,0)</f>
        <v>727650</v>
      </c>
      <c r="I19" s="4"/>
    </row>
    <row r="20" spans="2:14" ht="15" customHeight="1" x14ac:dyDescent="0.25">
      <c r="B20" s="4" t="s">
        <v>20</v>
      </c>
      <c r="C20" s="4"/>
      <c r="D20" s="4"/>
      <c r="E20" s="4"/>
      <c r="F20" s="102">
        <f>Детали!F219</f>
        <v>980</v>
      </c>
      <c r="G20" s="4"/>
      <c r="H20" s="102">
        <f>ROUND(F20*'Ввод данных'!$E$14,0)</f>
        <v>490000</v>
      </c>
      <c r="I20" s="4"/>
    </row>
    <row r="21" spans="2:14" s="150" customFormat="1" ht="15" customHeight="1" x14ac:dyDescent="0.25">
      <c r="B21" s="88" t="s">
        <v>236</v>
      </c>
      <c r="C21" s="88"/>
      <c r="D21" s="88"/>
      <c r="E21" s="88"/>
      <c r="F21" s="146">
        <f>Детали!F230</f>
        <v>252</v>
      </c>
      <c r="G21" s="88"/>
      <c r="H21" s="146">
        <f>ROUND(F21*'Ввод данных'!$E$14,0)</f>
        <v>126000</v>
      </c>
      <c r="I21" s="88"/>
      <c r="J21" s="1"/>
    </row>
    <row r="22" spans="2:14" s="150" customFormat="1" ht="15" customHeight="1" x14ac:dyDescent="0.25">
      <c r="B22" s="88" t="s">
        <v>21</v>
      </c>
      <c r="C22" s="88"/>
      <c r="D22" s="88"/>
      <c r="E22" s="88"/>
      <c r="F22" s="146">
        <f>Детали!F235</f>
        <v>24455</v>
      </c>
      <c r="G22" s="88"/>
      <c r="H22" s="146">
        <f>ROUND(F22*'Ввод данных'!$E$14,0)</f>
        <v>12227500</v>
      </c>
      <c r="I22" s="88"/>
    </row>
    <row r="23" spans="2:14" ht="15" customHeight="1" x14ac:dyDescent="0.25">
      <c r="B23" s="4" t="s">
        <v>22</v>
      </c>
      <c r="C23" s="4"/>
      <c r="D23" s="4"/>
      <c r="E23" s="4"/>
      <c r="F23" s="102">
        <f>Детали!F240</f>
        <v>924</v>
      </c>
      <c r="G23" s="4"/>
      <c r="H23" s="102">
        <f>ROUND(F23*'Ввод данных'!$E$14,0)</f>
        <v>462000</v>
      </c>
      <c r="I23" s="4"/>
    </row>
    <row r="24" spans="2:14" s="150" customFormat="1" ht="15" customHeight="1" x14ac:dyDescent="0.25">
      <c r="B24" s="88" t="s">
        <v>23</v>
      </c>
      <c r="C24" s="88"/>
      <c r="D24" s="88"/>
      <c r="E24" s="88"/>
      <c r="F24" s="146">
        <f>Детали!F246</f>
        <v>4400</v>
      </c>
      <c r="G24" s="88"/>
      <c r="H24" s="146">
        <f>ROUND(F24*'Ввод данных'!$E$14,0)</f>
        <v>2200000</v>
      </c>
      <c r="I24" s="88"/>
      <c r="J24" s="1"/>
    </row>
    <row r="25" spans="2:14" ht="15" customHeight="1" x14ac:dyDescent="0.25">
      <c r="B25" s="4" t="s">
        <v>24</v>
      </c>
      <c r="C25" s="4"/>
      <c r="D25" s="4"/>
      <c r="E25" s="4"/>
      <c r="F25" s="102">
        <f>Детали!F253</f>
        <v>19800</v>
      </c>
      <c r="G25" s="4"/>
      <c r="H25" s="102">
        <f>ROUND(F25*'Ввод данных'!$E$14,0)</f>
        <v>9900000</v>
      </c>
      <c r="I25" s="4"/>
    </row>
    <row r="26" spans="2:14" ht="15" customHeight="1" x14ac:dyDescent="0.35">
      <c r="B26" s="4" t="s">
        <v>25</v>
      </c>
      <c r="C26" s="4"/>
      <c r="D26" s="4"/>
      <c r="E26" s="4"/>
      <c r="F26" s="103">
        <f>Детали!F258</f>
        <v>320</v>
      </c>
      <c r="G26" s="18"/>
      <c r="H26" s="130">
        <f>ROUND(F26*'Ввод данных'!$E$14,0)</f>
        <v>160000</v>
      </c>
      <c r="I26" s="12"/>
    </row>
    <row r="27" spans="2:14" ht="15" customHeight="1" x14ac:dyDescent="0.25">
      <c r="B27" s="4" t="s">
        <v>26</v>
      </c>
      <c r="C27" s="4"/>
      <c r="D27" s="4"/>
      <c r="E27" s="4"/>
      <c r="F27" s="102">
        <f>SUM(F13:F26)</f>
        <v>187872.08</v>
      </c>
      <c r="G27" s="4"/>
      <c r="H27" s="102">
        <f>SUM(H13:H26)</f>
        <v>75321040</v>
      </c>
      <c r="I27" s="4"/>
      <c r="N27" s="93"/>
    </row>
    <row r="28" spans="2:14" ht="15" customHeight="1" x14ac:dyDescent="0.35">
      <c r="B28" s="88" t="s">
        <v>241</v>
      </c>
      <c r="C28" s="88"/>
      <c r="D28" s="4"/>
      <c r="E28" s="4"/>
      <c r="F28" s="149">
        <f>Детали!F265</f>
        <v>7714.2857142857147</v>
      </c>
      <c r="G28" s="19"/>
      <c r="H28" s="130">
        <f>ROUND(F28*'Ввод данных'!$E$14,0)</f>
        <v>3857143</v>
      </c>
      <c r="I28" s="19"/>
    </row>
    <row r="29" spans="2:14" ht="15" customHeight="1" x14ac:dyDescent="0.25">
      <c r="B29" s="14" t="s">
        <v>118</v>
      </c>
      <c r="C29" s="14"/>
      <c r="D29" s="14"/>
      <c r="E29" s="14"/>
      <c r="F29" s="100">
        <f>F27+F28</f>
        <v>195586.3657142857</v>
      </c>
      <c r="G29" s="16"/>
      <c r="H29" s="100">
        <f>SUM(H27:H28)</f>
        <v>79178183</v>
      </c>
      <c r="I29" s="20"/>
    </row>
    <row r="30" spans="2:14" ht="8.1" customHeight="1" x14ac:dyDescent="0.25">
      <c r="B30" s="14"/>
      <c r="C30" s="14"/>
      <c r="D30" s="14"/>
      <c r="E30" s="14"/>
      <c r="F30" s="16"/>
      <c r="G30" s="14"/>
      <c r="H30" s="15"/>
      <c r="I30" s="20"/>
    </row>
    <row r="31" spans="2:14" ht="15" customHeight="1" x14ac:dyDescent="0.25">
      <c r="B31" s="14" t="s">
        <v>27</v>
      </c>
      <c r="C31" s="4"/>
      <c r="D31" s="4"/>
      <c r="E31" s="4"/>
      <c r="F31" s="4"/>
      <c r="G31" s="4"/>
      <c r="H31" s="4"/>
      <c r="I31" s="4"/>
    </row>
    <row r="32" spans="2:14" ht="15" customHeight="1" x14ac:dyDescent="0.25">
      <c r="B32" s="3" t="s">
        <v>28</v>
      </c>
      <c r="C32" s="4"/>
      <c r="D32" s="4"/>
      <c r="E32" s="4"/>
      <c r="F32" s="4"/>
      <c r="G32" s="4"/>
      <c r="H32" s="4"/>
      <c r="I32" s="4"/>
    </row>
    <row r="33" spans="2:13" ht="14.25" customHeight="1" x14ac:dyDescent="0.25">
      <c r="B33" s="4" t="s">
        <v>29</v>
      </c>
      <c r="C33" s="4"/>
      <c r="D33" s="4"/>
      <c r="E33" s="4"/>
      <c r="F33" s="102">
        <f>Детали!F339</f>
        <v>14942.46</v>
      </c>
      <c r="G33" s="4"/>
      <c r="H33" s="102">
        <f>ROUND(F33*'Ввод данных'!$E$14,0)</f>
        <v>7471230</v>
      </c>
      <c r="I33" s="4"/>
    </row>
    <row r="34" spans="2:13" ht="15.75" customHeight="1" x14ac:dyDescent="0.25">
      <c r="B34" s="4" t="s">
        <v>30</v>
      </c>
      <c r="C34" s="4"/>
      <c r="D34" s="4"/>
      <c r="E34" s="4"/>
      <c r="F34" s="102">
        <f>Детали!F346</f>
        <v>18524.32</v>
      </c>
      <c r="G34" s="4"/>
      <c r="H34" s="102">
        <f>ROUND(F34*'Ввод данных'!$E$14,0)</f>
        <v>9262160</v>
      </c>
      <c r="I34" s="4"/>
    </row>
    <row r="35" spans="2:13" ht="8.1" customHeight="1" x14ac:dyDescent="0.25">
      <c r="B35" s="4"/>
      <c r="C35" s="4"/>
      <c r="D35" s="4"/>
      <c r="E35" s="4"/>
      <c r="F35" s="21"/>
      <c r="G35" s="4"/>
      <c r="H35" s="22"/>
      <c r="I35" s="4"/>
    </row>
    <row r="36" spans="2:13" ht="15" customHeight="1" x14ac:dyDescent="0.25">
      <c r="B36" s="3" t="s">
        <v>31</v>
      </c>
      <c r="C36" s="4"/>
      <c r="D36" s="4"/>
      <c r="E36" s="4"/>
      <c r="F36" s="10" t="s">
        <v>0</v>
      </c>
      <c r="G36" s="4"/>
      <c r="H36" s="22" t="s">
        <v>0</v>
      </c>
      <c r="I36" s="4"/>
    </row>
    <row r="37" spans="2:13" ht="15" customHeight="1" x14ac:dyDescent="0.25">
      <c r="B37" s="4" t="s">
        <v>32</v>
      </c>
      <c r="C37" s="4"/>
      <c r="D37" s="4"/>
      <c r="E37" s="4"/>
      <c r="F37" s="102">
        <f>Детали!F356</f>
        <v>3735.6149999999998</v>
      </c>
      <c r="G37" s="4"/>
      <c r="H37" s="102">
        <f>ROUND(F37*'Ввод данных'!$E$14,0)</f>
        <v>1867808</v>
      </c>
      <c r="I37" s="4"/>
    </row>
    <row r="38" spans="2:13" ht="15" customHeight="1" x14ac:dyDescent="0.25">
      <c r="B38" s="4" t="s">
        <v>33</v>
      </c>
      <c r="C38" s="4"/>
      <c r="D38" s="4"/>
      <c r="E38" s="4"/>
      <c r="F38" s="102">
        <f>Детали!F364</f>
        <v>3473.31</v>
      </c>
      <c r="G38" s="4"/>
      <c r="H38" s="102">
        <f>ROUND(F38*'Ввод данных'!$E$14,0)</f>
        <v>1736655</v>
      </c>
      <c r="I38" s="4"/>
    </row>
    <row r="39" spans="2:13" ht="15" customHeight="1" x14ac:dyDescent="0.25">
      <c r="B39" s="4" t="s">
        <v>34</v>
      </c>
      <c r="C39" s="4"/>
      <c r="D39" s="4"/>
      <c r="E39" s="4"/>
      <c r="F39" s="102">
        <f>Детали!F369</f>
        <v>9125</v>
      </c>
      <c r="G39" s="4"/>
      <c r="H39" s="102">
        <f>ROUND(F39*'Ввод данных'!$E$14,0)</f>
        <v>4562500</v>
      </c>
      <c r="I39" s="4"/>
    </row>
    <row r="40" spans="2:13" ht="15" customHeight="1" x14ac:dyDescent="0.35">
      <c r="B40" s="4" t="s">
        <v>35</v>
      </c>
      <c r="C40" s="4"/>
      <c r="D40" s="4"/>
      <c r="E40" s="4"/>
      <c r="F40" s="130">
        <f>Детали!F401</f>
        <v>1930.44</v>
      </c>
      <c r="G40" s="19"/>
      <c r="H40" s="130">
        <f>ROUND(F40*'Ввод данных'!$E$14,0)</f>
        <v>965220</v>
      </c>
      <c r="I40" s="6"/>
    </row>
    <row r="41" spans="2:13" ht="15" customHeight="1" x14ac:dyDescent="0.25">
      <c r="B41" s="14" t="s">
        <v>36</v>
      </c>
      <c r="C41" s="14"/>
      <c r="D41" s="14"/>
      <c r="E41" s="14"/>
      <c r="F41" s="131">
        <f>SUM(F33:F40)</f>
        <v>51731.144999999997</v>
      </c>
      <c r="G41" s="23"/>
      <c r="H41" s="132">
        <f>SUM(H33:H40)</f>
        <v>25865573</v>
      </c>
      <c r="I41" s="20"/>
    </row>
    <row r="42" spans="2:13" ht="15" customHeight="1" x14ac:dyDescent="0.25">
      <c r="B42" s="14" t="s">
        <v>37</v>
      </c>
      <c r="C42" s="14"/>
      <c r="D42" s="14"/>
      <c r="E42" s="14"/>
      <c r="F42" s="100">
        <f>F29+F41</f>
        <v>247317.51071428569</v>
      </c>
      <c r="G42" s="14"/>
      <c r="H42" s="133">
        <f>H29+H41</f>
        <v>105043756</v>
      </c>
      <c r="I42" s="20"/>
    </row>
    <row r="43" spans="2:13" ht="8.1" customHeight="1" x14ac:dyDescent="0.25">
      <c r="B43" s="14"/>
      <c r="C43" s="14"/>
      <c r="D43" s="14"/>
      <c r="E43" s="14"/>
      <c r="F43" s="16"/>
      <c r="G43" s="14"/>
      <c r="H43" s="15"/>
      <c r="I43" s="20"/>
    </row>
    <row r="44" spans="2:13" ht="15" customHeight="1" x14ac:dyDescent="0.35">
      <c r="B44" s="14" t="s">
        <v>213</v>
      </c>
      <c r="C44" s="14"/>
      <c r="D44" s="14"/>
      <c r="E44" s="14"/>
      <c r="F44" s="103">
        <f>Детали!F425</f>
        <v>6000</v>
      </c>
      <c r="G44" s="23"/>
      <c r="H44" s="130">
        <f>ROUND(F44*'Ввод данных'!$E$14,0)</f>
        <v>3000000</v>
      </c>
      <c r="I44" s="14"/>
    </row>
    <row r="45" spans="2:13" ht="15" customHeight="1" thickBot="1" x14ac:dyDescent="0.3">
      <c r="B45" s="14"/>
      <c r="C45" s="14"/>
      <c r="D45" s="14"/>
      <c r="E45" s="14"/>
      <c r="F45" s="103"/>
      <c r="G45" s="23"/>
      <c r="H45" s="102"/>
      <c r="I45" s="14"/>
    </row>
    <row r="46" spans="2:13" ht="17.25" customHeight="1" thickBot="1" x14ac:dyDescent="0.3">
      <c r="B46" s="14" t="s">
        <v>38</v>
      </c>
      <c r="C46" s="14"/>
      <c r="D46" s="14"/>
      <c r="E46" s="14"/>
      <c r="F46" s="156">
        <f>F42+F44</f>
        <v>253317.51071428569</v>
      </c>
      <c r="G46" s="14"/>
      <c r="H46" s="133">
        <f>H42+H44</f>
        <v>108043756</v>
      </c>
      <c r="I46" s="14"/>
      <c r="M46" s="108"/>
    </row>
    <row r="47" spans="2:13" ht="19.5" customHeight="1" thickBot="1" x14ac:dyDescent="0.3">
      <c r="B47" s="24"/>
      <c r="C47" s="24"/>
      <c r="D47" s="24"/>
      <c r="E47" s="24"/>
      <c r="F47" s="24"/>
      <c r="G47" s="24"/>
      <c r="H47" s="25"/>
      <c r="I47" s="24"/>
    </row>
    <row r="48" spans="2:13" ht="15" customHeight="1" thickTop="1" x14ac:dyDescent="0.25">
      <c r="B48" s="154"/>
      <c r="C48" s="134"/>
      <c r="D48" s="263" t="s">
        <v>39</v>
      </c>
      <c r="E48" s="263"/>
      <c r="F48" s="154"/>
      <c r="G48" s="134"/>
      <c r="H48" s="155"/>
      <c r="I48" s="134"/>
    </row>
    <row r="49" spans="2:13" ht="15" customHeight="1" x14ac:dyDescent="0.25">
      <c r="B49" s="151" t="s">
        <v>253</v>
      </c>
      <c r="C49" s="152"/>
      <c r="D49" s="17"/>
      <c r="E49" s="17"/>
      <c r="F49" s="5" t="s">
        <v>41</v>
      </c>
      <c r="G49" s="6" t="s">
        <v>0</v>
      </c>
      <c r="H49" s="112" t="s">
        <v>14</v>
      </c>
      <c r="I49" s="17"/>
    </row>
    <row r="50" spans="2:13" ht="15" customHeight="1" x14ac:dyDescent="0.25">
      <c r="B50" s="4" t="s">
        <v>40</v>
      </c>
      <c r="C50" s="17"/>
      <c r="D50" s="17"/>
      <c r="E50" s="17"/>
      <c r="F50" s="110">
        <f>SUM('Ввод данных'!E19*'Ввод данных'!E17)*('Ввод данных'!E16/100)</f>
        <v>186000</v>
      </c>
      <c r="G50" s="26"/>
      <c r="H50" s="111">
        <f>ROUND(F50*'Ввод данных'!$E$14,0)</f>
        <v>93000000</v>
      </c>
      <c r="I50" s="17"/>
    </row>
    <row r="51" spans="2:13" ht="15" customHeight="1" x14ac:dyDescent="0.25">
      <c r="B51" s="152" t="str">
        <f>"     (при стоимости "&amp;'Ввод данных'!E19&amp;" тг/кг, "&amp;'Ввод данных'!E16&amp;"% приплода телят)"</f>
        <v xml:space="preserve">     (при стоимости 1000 тг/кг, 62% приплода телят)</v>
      </c>
      <c r="C51" s="152"/>
      <c r="D51" s="152"/>
      <c r="E51" s="152"/>
      <c r="G51" s="17"/>
      <c r="I51" s="17"/>
    </row>
    <row r="52" spans="2:13" ht="8.1" customHeight="1" x14ac:dyDescent="0.25">
      <c r="B52" s="17"/>
      <c r="C52" s="17"/>
      <c r="D52" s="17"/>
      <c r="E52" s="17"/>
      <c r="G52" s="17"/>
      <c r="I52" s="17"/>
    </row>
    <row r="53" spans="2:13" ht="15" customHeight="1" x14ac:dyDescent="0.25">
      <c r="B53" s="17"/>
      <c r="C53" s="17"/>
      <c r="D53" s="17"/>
      <c r="E53" s="17"/>
      <c r="F53" s="27" t="s">
        <v>113</v>
      </c>
      <c r="G53" s="17"/>
      <c r="H53" s="27" t="s">
        <v>115</v>
      </c>
      <c r="I53" s="17"/>
    </row>
    <row r="54" spans="2:13" ht="15" customHeight="1" x14ac:dyDescent="0.25">
      <c r="B54" s="17"/>
      <c r="C54" s="17"/>
      <c r="D54" s="17"/>
      <c r="E54" s="17"/>
      <c r="F54" s="76" t="s">
        <v>114</v>
      </c>
      <c r="G54" s="17"/>
      <c r="H54" s="27" t="s">
        <v>116</v>
      </c>
      <c r="I54" s="17"/>
    </row>
    <row r="55" spans="2:13" ht="15" customHeight="1" x14ac:dyDescent="0.25">
      <c r="C55" s="4"/>
      <c r="D55" s="4"/>
      <c r="E55" s="4"/>
      <c r="F55" s="112" t="s">
        <v>117</v>
      </c>
      <c r="G55" s="4"/>
      <c r="H55" s="28" t="str">
        <f>"при стоимости теленка "&amp;'Ввод данных'!E19&amp;" тг/кг"</f>
        <v>при стоимости теленка 1000 тг/кг</v>
      </c>
      <c r="I55" s="4"/>
    </row>
    <row r="56" spans="2:13" ht="15" customHeight="1" x14ac:dyDescent="0.25">
      <c r="B56" s="4" t="s">
        <v>109</v>
      </c>
      <c r="C56" s="4"/>
      <c r="D56" s="4"/>
      <c r="E56" s="4"/>
      <c r="F56" s="107">
        <f>($F$29/('Ввод данных'!$E$16/100)/('Ввод данных'!$E$17))</f>
        <v>1051.5396006144392</v>
      </c>
      <c r="G56" s="4"/>
      <c r="H56" s="113">
        <f>(('Ввод данных'!E17*('Ввод данных'!E19))*('Ввод данных'!E16/100))-F29</f>
        <v>-9586.3657142856973</v>
      </c>
      <c r="I56" s="9"/>
      <c r="J56" s="87"/>
    </row>
    <row r="57" spans="2:13" ht="15" customHeight="1" x14ac:dyDescent="0.25">
      <c r="B57" s="4" t="s">
        <v>110</v>
      </c>
      <c r="C57" s="4"/>
      <c r="D57" s="4"/>
      <c r="E57" s="4"/>
      <c r="F57" s="107">
        <f>(($F$29+F44)/('Ввод данных'!$E$16/100)/('Ввод данных'!$E$17))</f>
        <v>1083.7976651305682</v>
      </c>
      <c r="G57" s="4"/>
      <c r="H57" s="113">
        <f>(('Ввод данных'!E17*'Ввод данных'!E19)*('Ввод данных'!E16/100))-F29-F44</f>
        <v>-15586.365714285697</v>
      </c>
      <c r="I57" s="9"/>
      <c r="J57" s="87"/>
      <c r="L57" s="114"/>
      <c r="M57" s="115"/>
    </row>
    <row r="58" spans="2:13" ht="15" customHeight="1" thickBot="1" x14ac:dyDescent="0.3">
      <c r="B58" s="4" t="s">
        <v>111</v>
      </c>
      <c r="C58" s="4"/>
      <c r="D58" s="4"/>
      <c r="E58" s="4"/>
      <c r="F58" s="107">
        <f>((F42)/('Ввод данных'!E16/100)/('Ввод данных'!E17))</f>
        <v>1329.6640360983101</v>
      </c>
      <c r="G58" s="4"/>
      <c r="H58" s="113">
        <f>(('Ввод данных'!E17*'Ввод данных'!E19)*('Ввод данных'!E16/100))-F29-F41</f>
        <v>-61317.510714285694</v>
      </c>
      <c r="I58" s="9"/>
      <c r="J58" s="87"/>
    </row>
    <row r="59" spans="2:13" ht="20.25" customHeight="1" thickBot="1" x14ac:dyDescent="0.3">
      <c r="B59" s="82" t="s">
        <v>112</v>
      </c>
      <c r="C59" s="4"/>
      <c r="D59" s="4"/>
      <c r="E59" s="4"/>
      <c r="F59" s="135">
        <f>((F46)/('Ввод данных'!E16/100)/('Ввод данных'!E17))</f>
        <v>1361.9221006144392</v>
      </c>
      <c r="G59" s="4"/>
      <c r="H59" s="113">
        <f>(('Ввод данных'!E17*'Ввод данных'!E19)*('Ввод данных'!E16/100))-F46</f>
        <v>-67317.510714285687</v>
      </c>
      <c r="I59" s="9"/>
      <c r="J59" s="87"/>
    </row>
    <row r="60" spans="2:13" ht="3.75" customHeight="1" thickBot="1" x14ac:dyDescent="0.3">
      <c r="B60" s="24"/>
      <c r="C60" s="24"/>
      <c r="D60" s="24"/>
      <c r="E60" s="24"/>
      <c r="F60" s="29">
        <f>((F47)/('Ввод данных'!E17/100)/('Ввод данных'!E18/100))</f>
        <v>0</v>
      </c>
      <c r="G60" s="24"/>
      <c r="H60" s="30"/>
      <c r="I60" s="31"/>
    </row>
    <row r="61" spans="2:13" ht="15" customHeight="1" thickTop="1" x14ac:dyDescent="0.25">
      <c r="B61" s="32" t="str">
        <f>"Валовый доход =  вес теленка ("&amp;'Ввод данных'!E17&amp;" кг) x "&amp;'Ввод данных'!E19&amp;" тг/кг x "&amp;'Ввод данных'!E16&amp;"% приплода телят"</f>
        <v>Валовый доход =  вес теленка (300 кг) x 1000 тг/кг x 62% приплода телят</v>
      </c>
      <c r="C61" s="17"/>
      <c r="D61" s="17"/>
      <c r="E61" s="17"/>
      <c r="F61" s="17"/>
      <c r="G61" s="17"/>
      <c r="H61" s="17"/>
      <c r="I61" s="17"/>
    </row>
    <row r="62" spans="2:13" ht="15" customHeight="1" x14ac:dyDescent="0.25">
      <c r="B62" s="32" t="str">
        <f>"Цена безубыточности тг/кг = Расходы ÷ "&amp;'Ввод данных'!E16&amp;"% приплода телят ÷ вес теленка ("&amp;'Ввод данных'!E17&amp;" кг)"</f>
        <v>Цена безубыточности тг/кг = Расходы ÷ 62% приплода телят ÷ вес теленка (300 кг)</v>
      </c>
      <c r="C62" s="17"/>
      <c r="D62" s="17"/>
      <c r="E62" s="17"/>
      <c r="F62" s="17"/>
      <c r="G62" s="17"/>
      <c r="H62" s="17"/>
      <c r="I62" s="17"/>
    </row>
    <row r="63" spans="2:13" ht="8.1" customHeight="1" x14ac:dyDescent="0.25">
      <c r="C63" s="33"/>
      <c r="D63" s="33"/>
      <c r="E63" s="33"/>
      <c r="F63" s="33"/>
      <c r="G63" s="33"/>
      <c r="H63" s="33"/>
      <c r="I63" s="33"/>
    </row>
    <row r="64" spans="2:13" ht="15" customHeight="1" x14ac:dyDescent="0.25">
      <c r="B64" s="260"/>
      <c r="C64" s="261"/>
      <c r="D64" s="261"/>
      <c r="E64" s="261"/>
      <c r="F64" s="261"/>
      <c r="G64" s="261"/>
      <c r="H64" s="261"/>
      <c r="I64" s="261"/>
    </row>
    <row r="65" spans="2:9" ht="15" customHeight="1" x14ac:dyDescent="0.25">
      <c r="B65" s="261"/>
      <c r="C65" s="261"/>
      <c r="D65" s="261"/>
      <c r="E65" s="261"/>
      <c r="F65" s="261"/>
      <c r="G65" s="261"/>
      <c r="H65" s="261"/>
      <c r="I65" s="261"/>
    </row>
    <row r="66" spans="2:9" ht="15" customHeight="1" x14ac:dyDescent="0.25">
      <c r="B66" s="261"/>
      <c r="C66" s="261"/>
      <c r="D66" s="261"/>
      <c r="E66" s="261"/>
      <c r="F66" s="261"/>
      <c r="G66" s="261"/>
      <c r="H66" s="261"/>
      <c r="I66" s="261"/>
    </row>
  </sheetData>
  <sheetProtection password="D73E" sheet="1" objects="1" scenarios="1"/>
  <mergeCells count="5">
    <mergeCell ref="B2:I2"/>
    <mergeCell ref="B3:I3"/>
    <mergeCell ref="B64:I66"/>
    <mergeCell ref="E5:G5"/>
    <mergeCell ref="D48:E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Введение</vt:lpstr>
      <vt:lpstr>Ввод данных</vt:lpstr>
      <vt:lpstr>Детали</vt:lpstr>
      <vt:lpstr>СВОДКА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Bolat</dc:creator>
  <cp:lastModifiedBy>Damir Bolat</cp:lastModifiedBy>
  <cp:lastPrinted>2013-12-12T14:15:49Z</cp:lastPrinted>
  <dcterms:created xsi:type="dcterms:W3CDTF">2013-12-04T06:08:09Z</dcterms:created>
  <dcterms:modified xsi:type="dcterms:W3CDTF">2014-02-12T06:22:59Z</dcterms:modified>
</cp:coreProperties>
</file>